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E\Documents\"/>
    </mc:Choice>
  </mc:AlternateContent>
  <bookViews>
    <workbookView xWindow="0" yWindow="0" windowWidth="19200" windowHeight="11595"/>
  </bookViews>
  <sheets>
    <sheet name="Dossier" sheetId="3" r:id="rId1"/>
    <sheet name="Données" sheetId="4" r:id="rId2"/>
  </sheets>
  <definedNames>
    <definedName name="Diplômes">Données!$K$3:$K$8</definedName>
    <definedName name="Educ_dep">Données!$B$62:$B$64</definedName>
    <definedName name="freq_comite">Données!$B$89:$B$92</definedName>
    <definedName name="Freq_entr">Données!$B$73:$B$74</definedName>
    <definedName name="freq_presse">Données!$B$83:$B$86</definedName>
    <definedName name="Freq_reunions">Données!$B$55:$B$59</definedName>
    <definedName name="freq_tournoi">Données!$B$77:$B$80</definedName>
    <definedName name="Fréquence">Données!$G$3:$G$6</definedName>
    <definedName name="Niveau">Données!$E$3:$E$5</definedName>
    <definedName name="OUI_NON">Données!$B$3:$B$4</definedName>
    <definedName name="p_accompagnement">Données!$B$29:$K$32</definedName>
    <definedName name="p_diplômes">Données!$B$47:$C$52</definedName>
    <definedName name="p_educep">Données!$B$62:$C$64</definedName>
    <definedName name="p_ethique">Données!$B$67:$F$70</definedName>
    <definedName name="p_freqcomite">Données!$B$89:$D$92</definedName>
    <definedName name="p_freqentr">Données!$B$73:$C$74</definedName>
    <definedName name="p_freqpresse">Données!$B$83:$C$86</definedName>
    <definedName name="p_freqreunions">Données!$B$55:$C$59</definedName>
    <definedName name="p_freqtournoi">Données!$B$77:$C$80</definedName>
    <definedName name="p_orga">Données!$B$17:$C$20</definedName>
    <definedName name="p_péda">Données!$B$42:$C$45</definedName>
    <definedName name="p_projetpéda">Données!$B$35:$C$39</definedName>
    <definedName name="p_structure">Données!$B$23:$I$26</definedName>
    <definedName name="Satisfaction">Données!$I$3:$I$6</definedName>
    <definedName name="z_accompagnement_eval" localSheetId="0">Dossier!$L$125:$O$134</definedName>
    <definedName name="z_accompagnement_eval">#REF!</definedName>
    <definedName name="z_accueil_eval" localSheetId="0">Dossier!$L$78:$O$78</definedName>
    <definedName name="z_accueil_eval">#REF!</definedName>
    <definedName name="z_educateurs_eval" localSheetId="0">Dossier!$I$169:$M$174</definedName>
    <definedName name="z_educateurs_eval">#REF!</definedName>
    <definedName name="z_educateurs_nombre" localSheetId="0">Dossier!$H$162:$O$165</definedName>
    <definedName name="z_educateurs_nombre">#REF!</definedName>
    <definedName name="z_educateurs_reunions" localSheetId="0">Dossier!$K$177:$O$180</definedName>
    <definedName name="z_educateurs_reunions">#REF!</definedName>
    <definedName name="z_ethique_eval" localSheetId="0">Dossier!$L$188:$O$192</definedName>
    <definedName name="z_ethique_eval">#REF!</definedName>
    <definedName name="z_formationjoueurs_eval" localSheetId="0">Dossier!$F$200:$O$210</definedName>
    <definedName name="z_formationjoueurs_eval">#REF!</definedName>
    <definedName name="z_identite" localSheetId="0">Dossier!$D$5:$O$19</definedName>
    <definedName name="z_identite">#REF!</definedName>
    <definedName name="z_identite_fiche">#REF!</definedName>
    <definedName name="z_information_eval" localSheetId="0">Dossier!$D$283:$O$294</definedName>
    <definedName name="z_information_eval">#REF!</definedName>
    <definedName name="z_institution_eval" localSheetId="0">Dossier!$D$262:$O$272</definedName>
    <definedName name="z_institution_eval">#REF!</definedName>
    <definedName name="z_partenariat_eval" localSheetId="0">Dossier!$D$319:$O$324</definedName>
    <definedName name="z_partenariat_eval">#REF!</definedName>
    <definedName name="z_projetpeda_eval" localSheetId="0">Dossier!$D$148:$O$156</definedName>
    <definedName name="z_projetpeda_eval">#REF!</definedName>
    <definedName name="z_rencontres_eval" localSheetId="0">Dossier!#REF!</definedName>
    <definedName name="z_rencontres_eval">#REF!</definedName>
    <definedName name="z_reunions_eval" localSheetId="0">Dossier!$D$301:$O$312</definedName>
    <definedName name="z_reunions_eval">#REF!</definedName>
    <definedName name="z_scolaire_eval" localSheetId="0">Dossier!$D$242:$O$256</definedName>
    <definedName name="z_scolaire_eval">#REF!</definedName>
    <definedName name="z_structure_eval" localSheetId="0">Dossier!$L$108:$O$116</definedName>
    <definedName name="z_structure_eval">#REF!</definedName>
    <definedName name="Zone_recrutement">Données!$B$10:$B$12</definedName>
  </definedNames>
  <calcPr calcId="152511"/>
</workbook>
</file>

<file path=xl/calcChain.xml><?xml version="1.0" encoding="utf-8"?>
<calcChain xmlns="http://schemas.openxmlformats.org/spreadsheetml/2006/main">
  <c r="I165" i="3" l="1"/>
  <c r="I166" i="3" s="1"/>
  <c r="E335" i="3"/>
  <c r="P322" i="3"/>
  <c r="P321" i="3"/>
  <c r="P319" i="3"/>
  <c r="P306" i="3"/>
  <c r="P302" i="3"/>
  <c r="P311" i="3"/>
  <c r="P312" i="3"/>
  <c r="P289" i="3"/>
  <c r="P291" i="3"/>
  <c r="P290" i="3"/>
  <c r="P288" i="3"/>
  <c r="P283" i="3"/>
  <c r="P272" i="3"/>
  <c r="P266" i="3"/>
  <c r="P269" i="3"/>
  <c r="P268" i="3"/>
  <c r="P267" i="3"/>
  <c r="P265" i="3"/>
  <c r="P263" i="3"/>
  <c r="P262" i="3"/>
  <c r="P256" i="3"/>
  <c r="P253" i="3"/>
  <c r="P252" i="3"/>
  <c r="P250" i="3"/>
  <c r="P249" i="3"/>
  <c r="P229" i="3"/>
  <c r="P236" i="3"/>
  <c r="P235" i="3"/>
  <c r="O226" i="3"/>
  <c r="L210" i="3"/>
  <c r="O210" i="3" s="1"/>
  <c r="O215" i="3"/>
  <c r="O214" i="3"/>
  <c r="G215" i="3"/>
  <c r="P212" i="3"/>
  <c r="J208" i="3"/>
  <c r="P208" i="3"/>
  <c r="O163" i="3"/>
  <c r="O165" i="3" s="1"/>
  <c r="O166" i="3" s="1"/>
  <c r="G210" i="3"/>
  <c r="N205" i="3"/>
  <c r="N204" i="3"/>
  <c r="N203" i="3"/>
  <c r="N202" i="3"/>
  <c r="N201" i="3"/>
  <c r="N200" i="3"/>
  <c r="M205" i="3"/>
  <c r="M204" i="3"/>
  <c r="M203" i="3"/>
  <c r="M201" i="3"/>
  <c r="M202" i="3"/>
  <c r="M200" i="3"/>
  <c r="O192" i="3"/>
  <c r="O191" i="3"/>
  <c r="O190" i="3"/>
  <c r="O188" i="3"/>
  <c r="P162" i="3"/>
  <c r="O182" i="3"/>
  <c r="O180" i="3"/>
  <c r="O177" i="3"/>
  <c r="O169" i="3"/>
  <c r="O170" i="3"/>
  <c r="O171" i="3"/>
  <c r="O172" i="3"/>
  <c r="O168" i="3"/>
  <c r="O149" i="3"/>
  <c r="O156" i="3"/>
  <c r="O138" i="3"/>
  <c r="O136" i="3"/>
  <c r="O134" i="3"/>
  <c r="O133" i="3"/>
  <c r="O131" i="3"/>
  <c r="O130" i="3"/>
  <c r="O128" i="3"/>
  <c r="O126" i="3"/>
  <c r="O125" i="3"/>
  <c r="O123" i="3"/>
  <c r="O116" i="3"/>
  <c r="O114" i="3"/>
  <c r="O113" i="3"/>
  <c r="O112" i="3"/>
  <c r="O111" i="3"/>
  <c r="O110" i="3"/>
  <c r="O109" i="3"/>
  <c r="O108" i="3"/>
  <c r="O95" i="3"/>
  <c r="O98" i="3" s="1"/>
  <c r="O89" i="3"/>
  <c r="N340" i="3" s="1"/>
  <c r="M340" i="3" s="1"/>
  <c r="L58" i="3"/>
  <c r="O362" i="3"/>
  <c r="O183" i="3" l="1"/>
  <c r="O184" i="3" s="1"/>
  <c r="M296" i="3"/>
  <c r="O296" i="3" s="1"/>
  <c r="M258" i="3"/>
  <c r="O258" i="3" s="1"/>
  <c r="N353" i="3" s="1"/>
  <c r="M217" i="3"/>
  <c r="L340" i="3"/>
  <c r="K340" i="3"/>
  <c r="J340" i="3"/>
  <c r="M327" i="3"/>
  <c r="O327" i="3" s="1"/>
  <c r="N359" i="3" s="1"/>
  <c r="M314" i="3"/>
  <c r="O314" i="3" s="1"/>
  <c r="N358" i="3" s="1"/>
  <c r="M274" i="3"/>
  <c r="M238" i="3"/>
  <c r="O238" i="3" s="1"/>
  <c r="N352" i="3" s="1"/>
  <c r="O193" i="3"/>
  <c r="O194" i="3" s="1"/>
  <c r="N348" i="3" s="1"/>
  <c r="O157" i="3"/>
  <c r="O158" i="3" s="1"/>
  <c r="N346" i="3" s="1"/>
  <c r="O139" i="3"/>
  <c r="O140" i="3" s="1"/>
  <c r="N343" i="3" s="1"/>
  <c r="O96" i="3"/>
  <c r="O117" i="3"/>
  <c r="O118" i="3" s="1"/>
  <c r="N342" i="3" s="1"/>
  <c r="O101" i="3"/>
  <c r="O100" i="3"/>
  <c r="O97" i="3"/>
  <c r="O99" i="3"/>
  <c r="O274" i="3" l="1"/>
  <c r="N354" i="3" s="1"/>
  <c r="K359" i="3"/>
  <c r="L359" i="3"/>
  <c r="M359" i="3"/>
  <c r="J359" i="3"/>
  <c r="K358" i="3"/>
  <c r="L358" i="3"/>
  <c r="M358" i="3"/>
  <c r="J358" i="3"/>
  <c r="M353" i="3"/>
  <c r="J353" i="3"/>
  <c r="K353" i="3"/>
  <c r="L353" i="3"/>
  <c r="L352" i="3"/>
  <c r="M352" i="3"/>
  <c r="J352" i="3"/>
  <c r="K352" i="3"/>
  <c r="K348" i="3"/>
  <c r="J348" i="3"/>
  <c r="L348" i="3"/>
  <c r="M348" i="3"/>
  <c r="J346" i="3"/>
  <c r="K346" i="3"/>
  <c r="L346" i="3"/>
  <c r="M346" i="3"/>
  <c r="L343" i="3"/>
  <c r="M343" i="3"/>
  <c r="J343" i="3"/>
  <c r="K343" i="3"/>
  <c r="J342" i="3"/>
  <c r="K342" i="3"/>
  <c r="L342" i="3"/>
  <c r="M342" i="3"/>
  <c r="O217" i="3"/>
  <c r="N349" i="3" s="1"/>
  <c r="O330" i="3"/>
  <c r="N357" i="3"/>
  <c r="N347" i="3"/>
  <c r="O102" i="3"/>
  <c r="O103" i="3" s="1"/>
  <c r="L354" i="3" l="1"/>
  <c r="M354" i="3"/>
  <c r="J354" i="3"/>
  <c r="K354" i="3"/>
  <c r="O277" i="3"/>
  <c r="N351" i="3" s="1"/>
  <c r="J351" i="3" s="1"/>
  <c r="M357" i="3"/>
  <c r="J357" i="3"/>
  <c r="K357" i="3"/>
  <c r="L357" i="3"/>
  <c r="K349" i="3"/>
  <c r="L349" i="3"/>
  <c r="M349" i="3"/>
  <c r="J349" i="3"/>
  <c r="J347" i="3"/>
  <c r="K347" i="3"/>
  <c r="L347" i="3"/>
  <c r="M347" i="3"/>
  <c r="O220" i="3"/>
  <c r="K364" i="3"/>
  <c r="N330" i="3"/>
  <c r="O143" i="3"/>
  <c r="N341" i="3"/>
  <c r="M341" i="3" s="1"/>
  <c r="M351" i="3" l="1"/>
  <c r="N277" i="3"/>
  <c r="L351" i="3"/>
  <c r="J364" i="3"/>
  <c r="K351" i="3"/>
  <c r="I364" i="3"/>
  <c r="N345" i="3"/>
  <c r="N143" i="3"/>
  <c r="N339" i="3"/>
  <c r="L341" i="3"/>
  <c r="J341" i="3"/>
  <c r="K341" i="3"/>
  <c r="N220" i="3"/>
  <c r="H364" i="3"/>
  <c r="N356" i="3"/>
  <c r="L339" i="3" l="1"/>
  <c r="M339" i="3"/>
  <c r="O364" i="3"/>
  <c r="I367" i="3" s="1"/>
  <c r="J356" i="3"/>
  <c r="K356" i="3"/>
  <c r="L356" i="3"/>
  <c r="M356" i="3"/>
  <c r="J345" i="3"/>
  <c r="M345" i="3"/>
  <c r="K345" i="3"/>
  <c r="L345" i="3"/>
  <c r="K339" i="3"/>
  <c r="J339" i="3"/>
</calcChain>
</file>

<file path=xl/sharedStrings.xml><?xml version="1.0" encoding="utf-8"?>
<sst xmlns="http://schemas.openxmlformats.org/spreadsheetml/2006/main" count="360" uniqueCount="263">
  <si>
    <t>Club</t>
  </si>
  <si>
    <t>n° FFR</t>
  </si>
  <si>
    <t>Année de création de l'école de rugby</t>
  </si>
  <si>
    <t>Population approximative de la zone d'influence</t>
  </si>
  <si>
    <t xml:space="preserve"> CLUB</t>
  </si>
  <si>
    <t>Budget EdR</t>
  </si>
  <si>
    <t>Le dirigeant responsable est-il membre du bureau directeur du club?</t>
  </si>
  <si>
    <t>Urbain</t>
  </si>
  <si>
    <t>Rural</t>
  </si>
  <si>
    <t>Moyens de recrutement</t>
  </si>
  <si>
    <t>L'EdR bénéficie-t-elle du détachement d'un éducateur (Mairie, CG)?</t>
  </si>
  <si>
    <t>nbre Licenciés club</t>
  </si>
  <si>
    <t>nbre Licenciés EdR</t>
  </si>
  <si>
    <t>Secrétariat Général</t>
  </si>
  <si>
    <t>Trésorier</t>
  </si>
  <si>
    <t>Responsables accueil</t>
  </si>
  <si>
    <t>Permanence</t>
  </si>
  <si>
    <t>Répondeur téléphone</t>
  </si>
  <si>
    <t>Organisation administrative de l'école de rugby</t>
  </si>
  <si>
    <t>Messagerie électr.</t>
  </si>
  <si>
    <t>Accueil et Contacts administratifs</t>
  </si>
  <si>
    <t xml:space="preserve">  ACCUEIL </t>
  </si>
  <si>
    <t>Structures</t>
  </si>
  <si>
    <t>Bien</t>
  </si>
  <si>
    <t>Terrains - Qualité (herbeux)</t>
  </si>
  <si>
    <t>Accompagnement</t>
  </si>
  <si>
    <t>Tournois</t>
  </si>
  <si>
    <t>Organisation de soutiens</t>
  </si>
  <si>
    <t>Organisation de manifestations</t>
  </si>
  <si>
    <t>Scolaire</t>
  </si>
  <si>
    <t>Social</t>
  </si>
  <si>
    <t>Sorties culturelles</t>
  </si>
  <si>
    <t>Organisation de collations</t>
  </si>
  <si>
    <t>FORMATION</t>
  </si>
  <si>
    <t>Projet pédagogique</t>
  </si>
  <si>
    <t>Un projet pédagogique est écrit pour l'école de rugby</t>
  </si>
  <si>
    <t>% effectif [(EdR/Club)x 100]</t>
  </si>
  <si>
    <t>Le projet pédagogique n'existe pas encore</t>
  </si>
  <si>
    <t>Nombre d'enfants</t>
  </si>
  <si>
    <t>Nombre d'équipes</t>
  </si>
  <si>
    <t>BEES 1 Rugby</t>
  </si>
  <si>
    <t>Responsable technique</t>
  </si>
  <si>
    <t>Préparation</t>
  </si>
  <si>
    <t>Participation</t>
  </si>
  <si>
    <t>Féminines</t>
  </si>
  <si>
    <t>COMMUNICATION</t>
  </si>
  <si>
    <t>Rencontres</t>
  </si>
  <si>
    <t>Toujours</t>
  </si>
  <si>
    <t>Jamais</t>
  </si>
  <si>
    <t>Département</t>
  </si>
  <si>
    <t>Territoire</t>
  </si>
  <si>
    <t>National</t>
  </si>
  <si>
    <t>International</t>
  </si>
  <si>
    <t>Organise des rassemblements de pratiques diversifiées pour licenciés et non licenciés</t>
  </si>
  <si>
    <t>DEVELOPPEMENT</t>
  </si>
  <si>
    <t>Milieu scolaire</t>
  </si>
  <si>
    <t xml:space="preserve"> dans une école primaire</t>
  </si>
  <si>
    <t>Milieu institutionnel</t>
  </si>
  <si>
    <t>Ecole Ouverte</t>
  </si>
  <si>
    <t>Bons CAF</t>
  </si>
  <si>
    <t>Ticket Sport</t>
  </si>
  <si>
    <t>Informations</t>
  </si>
  <si>
    <t>Rubrique dans la presse locale</t>
  </si>
  <si>
    <t>Outils de diffusion des infos</t>
  </si>
  <si>
    <t>Revues municipales ou départementales</t>
  </si>
  <si>
    <t>Réunions</t>
  </si>
  <si>
    <t>Livret</t>
  </si>
  <si>
    <t>Fiches</t>
  </si>
  <si>
    <t>Partenariat</t>
  </si>
  <si>
    <t>L'école de rugby propose à la vente:</t>
  </si>
  <si>
    <t>Autres formes de partenariat de l'école de rugby</t>
  </si>
  <si>
    <t>Existe-t-il une salle couverte à proximité, utilisable par l'EdR?</t>
  </si>
  <si>
    <t>Peu</t>
  </si>
  <si>
    <t>Terrains - Quantité / nombre d'enfants</t>
  </si>
  <si>
    <t>Professionnel</t>
  </si>
  <si>
    <t>Un projet pédagogique est écrit, au moins, pour une catégorie</t>
  </si>
  <si>
    <t>Souvent</t>
  </si>
  <si>
    <t>Vous avez une ou des conventions "club" signées:</t>
  </si>
  <si>
    <t>Rarement</t>
  </si>
  <si>
    <t>Différents publics non-licenciés</t>
  </si>
  <si>
    <t xml:space="preserve">Journal de l'école de rugby, Feuillet libre </t>
  </si>
  <si>
    <t>Total maxi possible</t>
  </si>
  <si>
    <t>Accueil</t>
  </si>
  <si>
    <t>Form</t>
  </si>
  <si>
    <t>Dév</t>
  </si>
  <si>
    <t>Com</t>
  </si>
  <si>
    <t>Récap de votre dossier</t>
  </si>
  <si>
    <t>votre TOTAL</t>
  </si>
  <si>
    <t>avec un collège ou  un lycée</t>
  </si>
  <si>
    <t xml:space="preserve"> Rapport2 (Ed formés/Educ)</t>
  </si>
  <si>
    <t>Rapport1 (Ed/Enf)</t>
  </si>
  <si>
    <t>(chaque case peut être remplie)</t>
  </si>
  <si>
    <t>Formation des éducateurs</t>
  </si>
  <si>
    <t>Formation des joueurs</t>
  </si>
  <si>
    <t>Récapitulatif du dossier de l'école de rugby :</t>
  </si>
  <si>
    <t>n°</t>
  </si>
  <si>
    <t>Fédération Française de Rugby</t>
  </si>
  <si>
    <t>Comité Territorial :</t>
  </si>
  <si>
    <t>Comité Départemental</t>
  </si>
  <si>
    <t>Goûters</t>
  </si>
  <si>
    <t xml:space="preserve">Accueil &amp; Pratique spécifique </t>
  </si>
  <si>
    <t>Formation spécifique des éduc.</t>
  </si>
  <si>
    <t>Comportements en bord de terrain</t>
  </si>
  <si>
    <t>(éducateurs et environnement)</t>
  </si>
  <si>
    <t>Respect de la charte du jeune joueur</t>
  </si>
  <si>
    <t>Respect de la charte de l'éducateur</t>
  </si>
  <si>
    <t>des articles logotés</t>
  </si>
  <si>
    <t>M.</t>
  </si>
  <si>
    <t>@</t>
  </si>
  <si>
    <t>pts</t>
  </si>
  <si>
    <t>Le club utilise-t-il les dispositifs d'accompagnement:</t>
  </si>
  <si>
    <t>par catégorie</t>
  </si>
  <si>
    <t>Plus haut diplôme d'éducateur</t>
  </si>
  <si>
    <t>Ethique et Règlement</t>
  </si>
  <si>
    <t>Existe-t-il une convention de mise à disposition du stade et des locaux?</t>
  </si>
  <si>
    <t>Vestiaires - Qualité - Salubrité/Vétusté</t>
  </si>
  <si>
    <t>Matériel (maillots-chasubles-plots-ballons)</t>
  </si>
  <si>
    <t>Zone de recrutement</t>
  </si>
  <si>
    <t>Périurbain</t>
  </si>
  <si>
    <t>Responsable</t>
  </si>
  <si>
    <t>Effectif</t>
  </si>
  <si>
    <t>Fêtes</t>
  </si>
  <si>
    <t>Satisfaisant</t>
  </si>
  <si>
    <t>A améliorer</t>
  </si>
  <si>
    <t>Insuffisant</t>
  </si>
  <si>
    <t>Accompagnement de l'activité</t>
  </si>
  <si>
    <t>Grille d'autoévaluation INFORMATIQUE</t>
  </si>
  <si>
    <t xml:space="preserve"> FICHE d'IDENTITE </t>
  </si>
  <si>
    <t>Préciser les clubs impliqués dans le regroupement</t>
  </si>
  <si>
    <t>Niveau de pratique du club support</t>
  </si>
  <si>
    <t>Les dirigeants et les éducateurs bénéficient des mesures fiscales en faveur des bénévoles: (URSAAF-Loi Sarkozy).</t>
  </si>
  <si>
    <t>Le projet propose des actions MULTISPORTS</t>
  </si>
  <si>
    <t>Fédéral</t>
  </si>
  <si>
    <t>Nombre TOTAL d'éducateurs</t>
  </si>
  <si>
    <t>Dont éducateurs sans formation (nombre)</t>
  </si>
  <si>
    <t>DE JEPS option rugby</t>
  </si>
  <si>
    <t>Salle d'accueil -  lieu de vie</t>
  </si>
  <si>
    <t>Vestiaires - Quantité / nombre d'enfants/Garçons/Filles</t>
  </si>
  <si>
    <t>Présence d'accompagnateurs (autres qu'éducateurs)</t>
  </si>
  <si>
    <t>Le projet pédagogique conforme au plan de formation FFR, construit en commun, concerne toutes les catégories</t>
  </si>
  <si>
    <t>Un projet pédagogique est construit en commun pour l'école de rugby</t>
  </si>
  <si>
    <t>BEES 2 ou DES Rugby</t>
  </si>
  <si>
    <t>EXEMPLAIRE</t>
  </si>
  <si>
    <t xml:space="preserve"> l'USEP</t>
  </si>
  <si>
    <t xml:space="preserve"> l'UNSS</t>
  </si>
  <si>
    <t xml:space="preserve"> l'UGSEL</t>
  </si>
  <si>
    <t xml:space="preserve"> l'Education Nationale</t>
  </si>
  <si>
    <t>des calendriers, des DVD ou CD, photos etc</t>
  </si>
  <si>
    <t>Je joue aussi arbitre</t>
  </si>
  <si>
    <t>Joueur de devant</t>
  </si>
  <si>
    <t>Jouer en sécurité</t>
  </si>
  <si>
    <t>n° DDCSPP</t>
  </si>
  <si>
    <t>Respect de la charte du supporteur (parents…)</t>
  </si>
  <si>
    <t>Fédération Française de Rugby - 3-5 rue Jean de Montaigu 91463 MARCOUSSIS Cedex</t>
  </si>
  <si>
    <t>Tél : 01 69 63 64 65    www.ffr.fr</t>
  </si>
  <si>
    <t>ou club support</t>
  </si>
  <si>
    <t>Nom du Regroupement</t>
  </si>
  <si>
    <t>Entraînements</t>
  </si>
  <si>
    <t>Educateur impliqué dans les actions départementales</t>
  </si>
  <si>
    <t>L'école de rugby met en place des actions de développement de la pratique féminine</t>
  </si>
  <si>
    <t>dans un collège ou  un lycée</t>
  </si>
  <si>
    <t>Accompagnez-vous la mise en place de la pratique rugby ? (animation, org tournois, prêt matériel…etc...)</t>
  </si>
  <si>
    <t>Actions cohésion sociale</t>
  </si>
  <si>
    <t>Information et fonctionnement</t>
  </si>
  <si>
    <t>Règlement intérieur</t>
  </si>
  <si>
    <t>Droits et devoirs des parents</t>
  </si>
  <si>
    <t>A l'inscription est-il remis un dossier sur le fonctionnement :</t>
  </si>
  <si>
    <t>Ce dossier contient</t>
  </si>
  <si>
    <t>Aide aux clubs (C.R - C.G)</t>
  </si>
  <si>
    <t>Adresse électronique</t>
  </si>
  <si>
    <t>Le club participe à des actions de sensibilisation "sport et santé"</t>
  </si>
  <si>
    <t>(addictions, obésité,diététique, etc...)</t>
  </si>
  <si>
    <t xml:space="preserve"> % par rapport au budget club</t>
  </si>
  <si>
    <t>n°DDCSPP</t>
  </si>
  <si>
    <t>Secrétariat Admin.</t>
  </si>
  <si>
    <t>Organisation administrative, N° utiles</t>
  </si>
  <si>
    <t>Droits et devoirs de l'enfant</t>
  </si>
  <si>
    <t>Objectifs de l'école de rugby</t>
  </si>
  <si>
    <t>Charte de l'éducateur</t>
  </si>
  <si>
    <t>Organisation des secours (pharmacie-secouriste-médecin…)</t>
  </si>
  <si>
    <r>
      <t xml:space="preserve">Organisation des transports : </t>
    </r>
    <r>
      <rPr>
        <b/>
        <sz val="12"/>
        <rFont val="Times New Roman"/>
        <family val="1"/>
      </rPr>
      <t>collectifs</t>
    </r>
    <r>
      <rPr>
        <sz val="12"/>
        <rFont val="Times New Roman"/>
        <family val="1"/>
      </rPr>
      <t xml:space="preserve"> </t>
    </r>
  </si>
  <si>
    <t>Le club mène t'il des actions pour fidéliser ses éducateurs ?</t>
  </si>
  <si>
    <t>Orange rugby challenge</t>
  </si>
  <si>
    <t>Aménagement des cotisations pour faciliter l'accessibilité</t>
  </si>
  <si>
    <t>% effectif total</t>
  </si>
  <si>
    <t>OUI-NON</t>
  </si>
  <si>
    <t>Oui</t>
  </si>
  <si>
    <t>Non</t>
  </si>
  <si>
    <t>Niveau</t>
  </si>
  <si>
    <t>Territorial</t>
  </si>
  <si>
    <t>Organigramme EDR</t>
  </si>
  <si>
    <t>Zone_recrutement</t>
  </si>
  <si>
    <t>Moyens_recrutement</t>
  </si>
  <si>
    <t>Naturel</t>
  </si>
  <si>
    <t>Animation Scolaire</t>
  </si>
  <si>
    <t>Portes Ouvertes</t>
  </si>
  <si>
    <t>Fréquence</t>
  </si>
  <si>
    <t>Satisfaction</t>
  </si>
  <si>
    <t>Animation scolaire</t>
  </si>
  <si>
    <t>Portes ouvertes</t>
  </si>
  <si>
    <t>Autres</t>
  </si>
  <si>
    <t>ECF ou BAFA</t>
  </si>
  <si>
    <t>Diplômes</t>
  </si>
  <si>
    <t>BF EDR ou jeunes (Enseignants-BEESAPT)</t>
  </si>
  <si>
    <t>Mensuelle</t>
  </si>
  <si>
    <t>Trimestrielle</t>
  </si>
  <si>
    <t>Semestrielle</t>
  </si>
  <si>
    <t>Annuelle</t>
  </si>
  <si>
    <t>Fréquence Réunions Techniques/Pédagogiques</t>
  </si>
  <si>
    <t>Plusieurs</t>
  </si>
  <si>
    <t>Un seul</t>
  </si>
  <si>
    <t>Aucun</t>
  </si>
  <si>
    <t>Gestion des Entraînements</t>
  </si>
  <si>
    <t>1 fois par semaine</t>
  </si>
  <si>
    <t>2 fois par semaine</t>
  </si>
  <si>
    <t>Entraînement pendant vacances</t>
  </si>
  <si>
    <t>Stages Vacances Club</t>
  </si>
  <si>
    <t>Participe aux tournois organisés, par le comité territorial ou le comité départemental :</t>
  </si>
  <si>
    <t>Organise des tournois ou plateaux évènementiels-clubs FFR (hors calendrier) :</t>
  </si>
  <si>
    <t>Si oui, niveau du (des) tournoi (s) :</t>
  </si>
  <si>
    <t>Êtes vous concernés par l'accompagnement éducatif :</t>
  </si>
  <si>
    <t>avec une école primaire</t>
  </si>
  <si>
    <t>Connaissez-vous les conventions signées entre la FFR et :</t>
  </si>
  <si>
    <t>Il y a, au club, une personne spécialement chargée des relations avec les scolaires :</t>
  </si>
  <si>
    <t>- des Conseils Régional et Général</t>
  </si>
  <si>
    <t>Le club remplit un dossier CNDS :</t>
  </si>
  <si>
    <t>Le club bénéficie d'une subvention municipale, spéciale EdR :</t>
  </si>
  <si>
    <t>Autres moyens d'informations :</t>
  </si>
  <si>
    <t>L'EdR participe aux réunions du comité départemental ou du comité territorial :</t>
  </si>
  <si>
    <t>L'EdR organise des réunions d'informations pour les parents :</t>
  </si>
  <si>
    <t>L'EdR assure le suivi  sur la pratique de ses joueurs :</t>
  </si>
  <si>
    <t>Il existe un partenariat privé, propre à l'école de rugby :</t>
  </si>
  <si>
    <t xml:space="preserve"> :</t>
  </si>
  <si>
    <t>Bilan Accueil</t>
  </si>
  <si>
    <t>Bilan Formation</t>
  </si>
  <si>
    <t>Bilan Développement</t>
  </si>
  <si>
    <t>Bilan Communication</t>
  </si>
  <si>
    <t xml:space="preserve">Bilan </t>
  </si>
  <si>
    <t>Max</t>
  </si>
  <si>
    <t>LABELLISABLE</t>
  </si>
  <si>
    <t>Organisation administrative EDR</t>
  </si>
  <si>
    <t>Insuff</t>
  </si>
  <si>
    <t>A Améli.</t>
  </si>
  <si>
    <t>Satisf.</t>
  </si>
  <si>
    <t>LABELLISATION INITIALE</t>
  </si>
  <si>
    <t>de l'Ecole de Rugby</t>
  </si>
  <si>
    <t>M6:</t>
  </si>
  <si>
    <t>M8 :</t>
  </si>
  <si>
    <t>M10 :</t>
  </si>
  <si>
    <t>M12 :</t>
  </si>
  <si>
    <t>M14 :</t>
  </si>
  <si>
    <t>Affichage du règlementRugby Digest au club house</t>
  </si>
  <si>
    <t>CPS M12</t>
  </si>
  <si>
    <t>CPS M14</t>
  </si>
  <si>
    <t xml:space="preserve"> Moins de 6 ans</t>
  </si>
  <si>
    <t>Beach, Rugby à 5…</t>
  </si>
  <si>
    <t>Êtes vous concernés par les Nouvelles Activités Pédagogiques (ARS) :</t>
  </si>
  <si>
    <t>- du Ministère de la Ville, de la Jeunesse et des Sports,</t>
  </si>
  <si>
    <t>Site internet, page Facebook</t>
  </si>
  <si>
    <t>Certificat Moins de 6 ans</t>
  </si>
  <si>
    <t xml:space="preserve">Le dossier complet doit être envoyé après avis du comité départemental 
et de la commission Ecole de Rugby territorial par mail
 à magali.clement@ffr.fr et boszustowicz@ffr.fr  </t>
  </si>
  <si>
    <t xml:space="preserve">L'école de rugby met en place des séances Moins de 15 ans féminines </t>
  </si>
  <si>
    <t>mise à jour 2 Mars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</si>
</sst>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"/>
  </numFmts>
  <fonts count="74" x14ac:knownFonts="1">
    <font>
      <sz val="10"/>
      <name val="Arial"/>
    </font>
    <font>
      <sz val="10"/>
      <name val="Arial"/>
      <family val="2"/>
    </font>
    <font>
      <sz val="12"/>
      <name val="Wingdings"/>
      <charset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1"/>
      <name val="Times New Roman"/>
      <family val="1"/>
    </font>
    <font>
      <b/>
      <sz val="12"/>
      <color indexed="11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Arial"/>
      <family val="2"/>
    </font>
    <font>
      <b/>
      <sz val="20"/>
      <color indexed="12"/>
      <name val="Times New Roman"/>
      <family val="1"/>
    </font>
    <font>
      <b/>
      <sz val="28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1"/>
      <name val="Times New Roman"/>
      <family val="1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i/>
      <u/>
      <sz val="11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53"/>
      <name val="Arial"/>
      <family val="2"/>
    </font>
    <font>
      <sz val="12"/>
      <color theme="3" tint="0.39997558519241921"/>
      <name val="Times New Roman"/>
      <family val="1"/>
    </font>
    <font>
      <b/>
      <sz val="11"/>
      <color rgb="FFCCFFCC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b/>
      <i/>
      <sz val="1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sz val="11"/>
      <color theme="4" tint="-0.249977111117893"/>
      <name val="Times New Roman"/>
      <family val="1"/>
    </font>
    <font>
      <b/>
      <sz val="11"/>
      <color rgb="FFFF0000"/>
      <name val="Times New Roman"/>
      <family val="1"/>
    </font>
    <font>
      <sz val="12"/>
      <color theme="7" tint="-0.249977111117893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theme="7" tint="-0.499984740745262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1"/>
      <color theme="7" tint="-0.499984740745262"/>
      <name val="Times New Roman"/>
      <family val="1"/>
    </font>
    <font>
      <b/>
      <sz val="12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b/>
      <sz val="14"/>
      <color theme="4" tint="-0.499984740745262"/>
      <name val="Times New Roman"/>
      <family val="1"/>
    </font>
    <font>
      <sz val="12"/>
      <color theme="9" tint="-0.499984740745262"/>
      <name val="Times New Roman"/>
      <family val="1"/>
    </font>
    <font>
      <b/>
      <sz val="10"/>
      <color theme="9" tint="-0.499984740745262"/>
      <name val="Times New Roman"/>
      <family val="1"/>
    </font>
    <font>
      <sz val="12"/>
      <color theme="4" tint="-0.499984740745262"/>
      <name val="Times New Roman"/>
      <family val="1"/>
    </font>
    <font>
      <sz val="12"/>
      <color theme="7" tint="-0.499984740745262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sz val="11"/>
      <color rgb="FF00B050"/>
      <name val="Times New Roman"/>
      <family val="1"/>
    </font>
    <font>
      <sz val="12"/>
      <color theme="6" tint="0.79998168889431442"/>
      <name val="Times New Roman"/>
      <family val="1"/>
    </font>
    <font>
      <sz val="10"/>
      <color theme="6" tint="0.79998168889431442"/>
      <name val="Times New Roman"/>
      <family val="1"/>
    </font>
    <font>
      <sz val="11"/>
      <color theme="6" tint="0.79998168889431442"/>
      <name val="Times New Roman"/>
      <family val="1"/>
    </font>
    <font>
      <sz val="8"/>
      <color theme="6" tint="0.79998168889431442"/>
      <name val="Times New Roman"/>
      <family val="1"/>
    </font>
    <font>
      <sz val="8"/>
      <color theme="6" tint="0.79998168889431442"/>
      <name val="Arial"/>
      <family val="2"/>
    </font>
    <font>
      <sz val="10"/>
      <color theme="6" tint="0.79998168889431442"/>
      <name val="Arial"/>
      <family val="2"/>
    </font>
    <font>
      <b/>
      <sz val="14"/>
      <color rgb="FF0070C0"/>
      <name val="Wingdings"/>
      <charset val="2"/>
    </font>
    <font>
      <sz val="14"/>
      <color rgb="FF0070C0"/>
      <name val="Wingdings"/>
      <charset val="2"/>
    </font>
    <font>
      <sz val="14"/>
      <color rgb="FF0070C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2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64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22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22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22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22"/>
      </top>
      <bottom style="thin">
        <color indexed="64"/>
      </bottom>
      <diagonal/>
    </border>
    <border>
      <left style="thick">
        <color indexed="22"/>
      </left>
      <right/>
      <top style="thick">
        <color indexed="22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22"/>
      </top>
      <bottom style="thin">
        <color indexed="64"/>
      </bottom>
      <diagonal/>
    </border>
    <border>
      <left style="thick">
        <color indexed="22"/>
      </left>
      <right/>
      <top/>
      <bottom style="thin">
        <color indexed="64"/>
      </bottom>
      <diagonal/>
    </border>
    <border>
      <left style="thick">
        <color indexed="22"/>
      </left>
      <right style="thin">
        <color indexed="64"/>
      </right>
      <top/>
      <bottom style="thin">
        <color indexed="64"/>
      </bottom>
      <diagonal/>
    </border>
    <border>
      <left style="thick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4" fillId="0" borderId="0" xfId="0" applyFont="1" applyAlignment="1" applyProtection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 applyAlignment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Protection="1">
      <protection locked="0"/>
    </xf>
    <xf numFmtId="0" fontId="3" fillId="0" borderId="0" xfId="0" applyFont="1" applyFill="1" applyBorder="1" applyAlignment="1"/>
    <xf numFmtId="0" fontId="3" fillId="2" borderId="2" xfId="0" applyFont="1" applyFill="1" applyBorder="1" applyAlignment="1"/>
    <xf numFmtId="0" fontId="3" fillId="0" borderId="0" xfId="0" applyFont="1" applyFill="1"/>
    <xf numFmtId="0" fontId="3" fillId="4" borderId="0" xfId="0" applyFont="1" applyFill="1" applyProtection="1"/>
    <xf numFmtId="0" fontId="3" fillId="4" borderId="16" xfId="0" applyFont="1" applyFill="1" applyBorder="1" applyProtection="1"/>
    <xf numFmtId="0" fontId="3" fillId="4" borderId="0" xfId="0" applyFont="1" applyFill="1" applyBorder="1" applyProtection="1"/>
    <xf numFmtId="0" fontId="3" fillId="4" borderId="18" xfId="0" applyFont="1" applyFill="1" applyBorder="1" applyProtection="1"/>
    <xf numFmtId="0" fontId="3" fillId="4" borderId="19" xfId="0" applyFont="1" applyFill="1" applyBorder="1" applyProtection="1"/>
    <xf numFmtId="0" fontId="3" fillId="4" borderId="20" xfId="0" applyFont="1" applyFill="1" applyBorder="1" applyProtection="1"/>
    <xf numFmtId="0" fontId="3" fillId="4" borderId="21" xfId="0" applyFont="1" applyFill="1" applyBorder="1" applyProtection="1"/>
    <xf numFmtId="0" fontId="3" fillId="4" borderId="22" xfId="0" applyFont="1" applyFill="1" applyBorder="1" applyProtection="1"/>
    <xf numFmtId="0" fontId="21" fillId="0" borderId="26" xfId="0" applyFont="1" applyFill="1" applyBorder="1" applyAlignment="1" applyProtection="1">
      <protection locked="0"/>
    </xf>
    <xf numFmtId="0" fontId="3" fillId="4" borderId="4" xfId="0" applyFont="1" applyFill="1" applyBorder="1" applyProtection="1"/>
    <xf numFmtId="0" fontId="5" fillId="4" borderId="0" xfId="0" applyFont="1" applyFill="1" applyBorder="1" applyAlignment="1" applyProtection="1"/>
    <xf numFmtId="0" fontId="3" fillId="4" borderId="5" xfId="0" applyFont="1" applyFill="1" applyBorder="1" applyProtection="1"/>
    <xf numFmtId="0" fontId="3" fillId="4" borderId="27" xfId="0" applyFont="1" applyFill="1" applyBorder="1" applyProtection="1"/>
    <xf numFmtId="0" fontId="3" fillId="4" borderId="6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3" fillId="4" borderId="28" xfId="0" applyFont="1" applyFill="1" applyBorder="1" applyProtection="1"/>
    <xf numFmtId="0" fontId="3" fillId="4" borderId="6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left"/>
    </xf>
    <xf numFmtId="0" fontId="3" fillId="4" borderId="28" xfId="0" applyFont="1" applyFill="1" applyBorder="1" applyAlignment="1" applyProtection="1">
      <alignment horizontal="left"/>
    </xf>
    <xf numFmtId="0" fontId="3" fillId="4" borderId="29" xfId="0" applyFont="1" applyFill="1" applyBorder="1" applyProtection="1"/>
    <xf numFmtId="0" fontId="3" fillId="4" borderId="16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2" xfId="0" applyFont="1" applyFill="1" applyBorder="1" applyAlignment="1" applyProtection="1">
      <alignment horizontal="center"/>
    </xf>
    <xf numFmtId="0" fontId="3" fillId="4" borderId="30" xfId="0" applyFont="1" applyFill="1" applyBorder="1" applyProtection="1"/>
    <xf numFmtId="0" fontId="3" fillId="4" borderId="31" xfId="0" applyFont="1" applyFill="1" applyBorder="1" applyAlignment="1" applyProtection="1"/>
    <xf numFmtId="0" fontId="3" fillId="4" borderId="31" xfId="0" applyFont="1" applyFill="1" applyBorder="1" applyProtection="1"/>
    <xf numFmtId="0" fontId="3" fillId="4" borderId="31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16" fillId="4" borderId="0" xfId="0" applyFont="1" applyFill="1" applyBorder="1" applyAlignment="1" applyProtection="1">
      <alignment horizontal="right"/>
    </xf>
    <xf numFmtId="0" fontId="16" fillId="4" borderId="28" xfId="0" applyFont="1" applyFill="1" applyBorder="1" applyProtection="1"/>
    <xf numFmtId="0" fontId="3" fillId="4" borderId="7" xfId="0" applyFont="1" applyFill="1" applyBorder="1" applyProtection="1"/>
    <xf numFmtId="0" fontId="3" fillId="4" borderId="2" xfId="0" applyFont="1" applyFill="1" applyBorder="1" applyProtection="1"/>
    <xf numFmtId="0" fontId="3" fillId="4" borderId="32" xfId="0" applyFont="1" applyFill="1" applyBorder="1" applyProtection="1"/>
    <xf numFmtId="0" fontId="11" fillId="4" borderId="0" xfId="0" applyFont="1" applyFill="1" applyBorder="1" applyAlignment="1" applyProtection="1"/>
    <xf numFmtId="0" fontId="11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/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</xf>
    <xf numFmtId="0" fontId="7" fillId="4" borderId="6" xfId="0" applyFont="1" applyFill="1" applyBorder="1" applyProtection="1"/>
    <xf numFmtId="0" fontId="3" fillId="4" borderId="2" xfId="0" applyFont="1" applyFill="1" applyBorder="1" applyAlignment="1" applyProtection="1"/>
    <xf numFmtId="0" fontId="3" fillId="4" borderId="2" xfId="0" applyFont="1" applyFill="1" applyBorder="1" applyAlignment="1" applyProtection="1">
      <alignment horizontal="right"/>
    </xf>
    <xf numFmtId="0" fontId="8" fillId="4" borderId="4" xfId="0" applyFont="1" applyFill="1" applyBorder="1" applyProtection="1"/>
    <xf numFmtId="0" fontId="8" fillId="4" borderId="5" xfId="0" applyFont="1" applyFill="1" applyBorder="1" applyProtection="1"/>
    <xf numFmtId="0" fontId="8" fillId="4" borderId="27" xfId="0" applyFont="1" applyFill="1" applyBorder="1" applyProtection="1"/>
    <xf numFmtId="0" fontId="8" fillId="4" borderId="6" xfId="0" applyFont="1" applyFill="1" applyBorder="1" applyProtection="1"/>
    <xf numFmtId="0" fontId="25" fillId="4" borderId="0" xfId="0" applyFont="1" applyFill="1" applyBorder="1" applyAlignment="1" applyProtection="1"/>
    <xf numFmtId="0" fontId="8" fillId="4" borderId="0" xfId="0" applyFont="1" applyFill="1" applyBorder="1" applyProtection="1"/>
    <xf numFmtId="0" fontId="8" fillId="4" borderId="0" xfId="0" applyFont="1" applyFill="1" applyBorder="1" applyAlignment="1" applyProtection="1"/>
    <xf numFmtId="0" fontId="8" fillId="4" borderId="28" xfId="0" applyFont="1" applyFill="1" applyBorder="1" applyProtection="1"/>
    <xf numFmtId="0" fontId="8" fillId="4" borderId="14" xfId="0" applyFont="1" applyFill="1" applyBorder="1" applyProtection="1"/>
    <xf numFmtId="0" fontId="8" fillId="4" borderId="16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4" borderId="24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6" fillId="4" borderId="0" xfId="0" applyFont="1" applyFill="1" applyBorder="1" applyAlignment="1" applyProtection="1">
      <alignment horizontal="right"/>
    </xf>
    <xf numFmtId="0" fontId="8" fillId="4" borderId="2" xfId="0" applyFont="1" applyFill="1" applyBorder="1" applyProtection="1"/>
    <xf numFmtId="0" fontId="8" fillId="4" borderId="32" xfId="0" applyFont="1" applyFill="1" applyBorder="1" applyProtection="1"/>
    <xf numFmtId="0" fontId="8" fillId="4" borderId="13" xfId="0" applyFont="1" applyFill="1" applyBorder="1" applyAlignment="1" applyProtection="1"/>
    <xf numFmtId="0" fontId="8" fillId="4" borderId="14" xfId="0" applyFont="1" applyFill="1" applyBorder="1" applyAlignment="1" applyProtection="1"/>
    <xf numFmtId="0" fontId="8" fillId="4" borderId="14" xfId="0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27" fillId="4" borderId="0" xfId="0" applyFont="1" applyFill="1" applyBorder="1" applyAlignment="1" applyProtection="1"/>
    <xf numFmtId="0" fontId="27" fillId="4" borderId="6" xfId="0" applyFont="1" applyFill="1" applyBorder="1" applyAlignment="1" applyProtection="1">
      <alignment horizontal="right"/>
    </xf>
    <xf numFmtId="12" fontId="27" fillId="4" borderId="33" xfId="0" applyNumberFormat="1" applyFont="1" applyFill="1" applyBorder="1" applyAlignment="1" applyProtection="1"/>
    <xf numFmtId="0" fontId="27" fillId="4" borderId="24" xfId="0" applyFont="1" applyFill="1" applyBorder="1" applyAlignment="1" applyProtection="1">
      <alignment horizontal="right"/>
    </xf>
    <xf numFmtId="1" fontId="27" fillId="4" borderId="34" xfId="0" applyNumberFormat="1" applyFont="1" applyFill="1" applyBorder="1" applyAlignment="1" applyProtection="1"/>
    <xf numFmtId="0" fontId="24" fillId="4" borderId="0" xfId="0" applyFont="1" applyFill="1" applyBorder="1" applyAlignment="1" applyProtection="1"/>
    <xf numFmtId="0" fontId="24" fillId="4" borderId="0" xfId="0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28" fillId="4" borderId="0" xfId="0" applyFont="1" applyFill="1" applyBorder="1" applyAlignment="1" applyProtection="1"/>
    <xf numFmtId="0" fontId="8" fillId="0" borderId="8" xfId="0" applyFont="1" applyFill="1" applyBorder="1" applyAlignment="1" applyProtection="1">
      <protection locked="0"/>
    </xf>
    <xf numFmtId="0" fontId="8" fillId="0" borderId="11" xfId="0" applyFont="1" applyFill="1" applyBorder="1" applyAlignment="1" applyProtection="1">
      <protection locked="0"/>
    </xf>
    <xf numFmtId="0" fontId="25" fillId="4" borderId="5" xfId="0" applyFont="1" applyFill="1" applyBorder="1" applyProtection="1"/>
    <xf numFmtId="0" fontId="7" fillId="4" borderId="5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32" fillId="4" borderId="0" xfId="0" applyFont="1" applyFill="1" applyBorder="1" applyAlignment="1" applyProtection="1"/>
    <xf numFmtId="0" fontId="8" fillId="4" borderId="7" xfId="0" applyFont="1" applyFill="1" applyBorder="1" applyProtection="1"/>
    <xf numFmtId="0" fontId="3" fillId="4" borderId="0" xfId="0" applyFont="1" applyFill="1" applyBorder="1" applyAlignment="1" applyProtection="1">
      <alignment horizontal="left" wrapText="1"/>
    </xf>
    <xf numFmtId="0" fontId="12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/>
    </xf>
    <xf numFmtId="0" fontId="16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left"/>
    </xf>
    <xf numFmtId="0" fontId="6" fillId="4" borderId="8" xfId="0" applyFont="1" applyFill="1" applyBorder="1" applyProtection="1"/>
    <xf numFmtId="0" fontId="4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/>
    </xf>
    <xf numFmtId="0" fontId="13" fillId="4" borderId="0" xfId="0" applyFont="1" applyFill="1" applyProtection="1"/>
    <xf numFmtId="0" fontId="4" fillId="4" borderId="0" xfId="0" applyFont="1" applyFill="1" applyAlignment="1" applyProtection="1"/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14" fillId="4" borderId="20" xfId="0" applyFont="1" applyFill="1" applyBorder="1" applyAlignment="1" applyProtection="1"/>
    <xf numFmtId="0" fontId="14" fillId="4" borderId="21" xfId="0" applyFont="1" applyFill="1" applyBorder="1" applyAlignment="1" applyProtection="1"/>
    <xf numFmtId="0" fontId="14" fillId="4" borderId="22" xfId="0" applyFont="1" applyFill="1" applyBorder="1" applyAlignment="1" applyProtection="1"/>
    <xf numFmtId="0" fontId="6" fillId="4" borderId="0" xfId="0" applyFont="1" applyFill="1" applyBorder="1" applyAlignment="1" applyProtection="1"/>
    <xf numFmtId="0" fontId="15" fillId="4" borderId="0" xfId="0" applyFont="1" applyFill="1" applyBorder="1" applyAlignment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left"/>
    </xf>
    <xf numFmtId="0" fontId="3" fillId="4" borderId="35" xfId="0" applyFont="1" applyFill="1" applyBorder="1" applyProtection="1"/>
    <xf numFmtId="0" fontId="3" fillId="4" borderId="36" xfId="0" applyFont="1" applyFill="1" applyBorder="1" applyProtection="1"/>
    <xf numFmtId="0" fontId="3" fillId="4" borderId="37" xfId="0" applyFont="1" applyFill="1" applyBorder="1" applyProtection="1"/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/>
    </xf>
    <xf numFmtId="0" fontId="4" fillId="4" borderId="8" xfId="0" applyFont="1" applyFill="1" applyBorder="1" applyProtection="1"/>
    <xf numFmtId="0" fontId="4" fillId="4" borderId="10" xfId="0" applyFont="1" applyFill="1" applyBorder="1" applyProtection="1"/>
    <xf numFmtId="0" fontId="4" fillId="4" borderId="6" xfId="0" applyFont="1" applyFill="1" applyBorder="1" applyProtection="1"/>
    <xf numFmtId="0" fontId="6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/>
    <xf numFmtId="0" fontId="4" fillId="2" borderId="0" xfId="0" applyFont="1" applyFill="1" applyBorder="1" applyAlignment="1"/>
    <xf numFmtId="0" fontId="0" fillId="4" borderId="0" xfId="0" applyFill="1" applyBorder="1" applyAlignment="1"/>
    <xf numFmtId="0" fontId="3" fillId="4" borderId="0" xfId="0" applyFont="1" applyFill="1" applyBorder="1"/>
    <xf numFmtId="0" fontId="16" fillId="6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3" fillId="2" borderId="5" xfId="0" applyFont="1" applyFill="1" applyBorder="1" applyAlignment="1"/>
    <xf numFmtId="0" fontId="6" fillId="7" borderId="26" xfId="0" applyNumberFormat="1" applyFont="1" applyFill="1" applyBorder="1" applyAlignment="1" applyProtection="1">
      <alignment horizontal="right"/>
    </xf>
    <xf numFmtId="0" fontId="37" fillId="4" borderId="28" xfId="0" applyFont="1" applyFill="1" applyBorder="1" applyProtection="1"/>
    <xf numFmtId="0" fontId="16" fillId="6" borderId="28" xfId="0" applyFont="1" applyFill="1" applyBorder="1" applyProtection="1"/>
    <xf numFmtId="0" fontId="3" fillId="2" borderId="27" xfId="0" applyFont="1" applyFill="1" applyBorder="1" applyAlignment="1"/>
    <xf numFmtId="0" fontId="3" fillId="2" borderId="28" xfId="0" applyFont="1" applyFill="1" applyBorder="1" applyAlignment="1"/>
    <xf numFmtId="0" fontId="3" fillId="2" borderId="32" xfId="0" applyFont="1" applyFill="1" applyBorder="1" applyAlignment="1"/>
    <xf numFmtId="0" fontId="3" fillId="8" borderId="0" xfId="0" applyFont="1" applyFill="1" applyBorder="1"/>
    <xf numFmtId="0" fontId="6" fillId="6" borderId="4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/>
    </xf>
    <xf numFmtId="0" fontId="6" fillId="6" borderId="27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25" fillId="4" borderId="5" xfId="0" applyFont="1" applyFill="1" applyBorder="1" applyAlignment="1" applyProtection="1"/>
    <xf numFmtId="0" fontId="8" fillId="4" borderId="5" xfId="0" applyFont="1" applyFill="1" applyBorder="1" applyAlignment="1" applyProtection="1"/>
    <xf numFmtId="0" fontId="27" fillId="4" borderId="0" xfId="0" applyFont="1" applyFill="1" applyBorder="1"/>
    <xf numFmtId="0" fontId="8" fillId="4" borderId="0" xfId="0" applyFont="1" applyFill="1" applyBorder="1"/>
    <xf numFmtId="0" fontId="8" fillId="6" borderId="6" xfId="0" applyFont="1" applyFill="1" applyBorder="1" applyProtection="1"/>
    <xf numFmtId="0" fontId="8" fillId="4" borderId="2" xfId="0" applyFont="1" applyFill="1" applyBorder="1"/>
    <xf numFmtId="0" fontId="8" fillId="4" borderId="32" xfId="0" applyFont="1" applyFill="1" applyBorder="1"/>
    <xf numFmtId="0" fontId="12" fillId="4" borderId="5" xfId="0" applyFont="1" applyFill="1" applyBorder="1" applyAlignment="1" applyProtection="1">
      <alignment horizontal="left" vertical="center"/>
    </xf>
    <xf numFmtId="0" fontId="38" fillId="6" borderId="0" xfId="0" applyFont="1" applyFill="1" applyBorder="1" applyProtection="1"/>
    <xf numFmtId="0" fontId="3" fillId="8" borderId="6" xfId="0" applyFont="1" applyFill="1" applyBorder="1"/>
    <xf numFmtId="0" fontId="7" fillId="2" borderId="6" xfId="0" applyFont="1" applyFill="1" applyBorder="1"/>
    <xf numFmtId="0" fontId="8" fillId="4" borderId="28" xfId="0" applyFont="1" applyFill="1" applyBorder="1" applyAlignment="1" applyProtection="1">
      <alignment horizontal="right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right"/>
    </xf>
    <xf numFmtId="0" fontId="33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0" borderId="8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8" fillId="6" borderId="0" xfId="0" applyFont="1" applyFill="1" applyBorder="1" applyProtection="1"/>
    <xf numFmtId="0" fontId="39" fillId="4" borderId="0" xfId="0" applyFont="1" applyFill="1" applyBorder="1" applyProtection="1"/>
    <xf numFmtId="0" fontId="40" fillId="4" borderId="0" xfId="0" applyFont="1" applyFill="1" applyBorder="1" applyProtection="1"/>
    <xf numFmtId="0" fontId="4" fillId="6" borderId="0" xfId="0" applyFont="1" applyFill="1" applyBorder="1" applyAlignment="1" applyProtection="1">
      <alignment horizontal="right"/>
    </xf>
    <xf numFmtId="0" fontId="6" fillId="4" borderId="0" xfId="0" applyFont="1" applyFill="1" applyBorder="1" applyProtection="1"/>
    <xf numFmtId="0" fontId="3" fillId="4" borderId="6" xfId="0" applyFont="1" applyFill="1" applyBorder="1" applyAlignment="1" applyProtection="1">
      <alignment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41" fillId="4" borderId="0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protection locked="0"/>
    </xf>
    <xf numFmtId="0" fontId="42" fillId="4" borderId="0" xfId="0" applyFont="1" applyFill="1" applyBorder="1" applyAlignment="1" applyProtection="1">
      <alignment horizontal="left"/>
    </xf>
    <xf numFmtId="9" fontId="8" fillId="10" borderId="8" xfId="2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>
      <alignment horizontal="left"/>
    </xf>
    <xf numFmtId="0" fontId="8" fillId="4" borderId="0" xfId="0" applyFont="1" applyFill="1" applyBorder="1" applyAlignment="1" applyProtection="1">
      <alignment wrapText="1"/>
    </xf>
    <xf numFmtId="0" fontId="3" fillId="4" borderId="0" xfId="0" quotePrefix="1" applyFont="1" applyFill="1" applyBorder="1" applyProtection="1"/>
    <xf numFmtId="0" fontId="3" fillId="0" borderId="0" xfId="0" applyFont="1" applyFill="1" applyProtection="1"/>
    <xf numFmtId="0" fontId="43" fillId="4" borderId="5" xfId="0" applyFont="1" applyFill="1" applyBorder="1" applyProtection="1"/>
    <xf numFmtId="0" fontId="3" fillId="0" borderId="38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1" fontId="6" fillId="0" borderId="0" xfId="0" applyNumberFormat="1" applyFont="1" applyFill="1" applyBorder="1" applyProtection="1"/>
    <xf numFmtId="0" fontId="16" fillId="0" borderId="0" xfId="0" applyFont="1" applyFill="1" applyBorder="1" applyProtection="1"/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Protection="1">
      <protection locked="0"/>
    </xf>
    <xf numFmtId="0" fontId="3" fillId="2" borderId="0" xfId="0" applyFont="1" applyFill="1" applyBorder="1" applyProtection="1"/>
    <xf numFmtId="6" fontId="3" fillId="8" borderId="0" xfId="0" applyNumberFormat="1" applyFont="1" applyFill="1" applyBorder="1" applyAlignment="1" applyProtection="1"/>
    <xf numFmtId="0" fontId="8" fillId="3" borderId="12" xfId="0" applyFont="1" applyFill="1" applyBorder="1" applyAlignment="1" applyProtection="1"/>
    <xf numFmtId="0" fontId="3" fillId="11" borderId="0" xfId="0" applyFont="1" applyFill="1"/>
    <xf numFmtId="0" fontId="3" fillId="11" borderId="0" xfId="0" applyFont="1" applyFill="1" applyBorder="1"/>
    <xf numFmtId="0" fontId="3" fillId="11" borderId="0" xfId="0" applyFont="1" applyFill="1" applyBorder="1" applyAlignment="1"/>
    <xf numFmtId="0" fontId="3" fillId="11" borderId="3" xfId="0" applyFont="1" applyFill="1" applyBorder="1"/>
    <xf numFmtId="0" fontId="3" fillId="11" borderId="3" xfId="0" applyFont="1" applyFill="1" applyBorder="1" applyAlignment="1"/>
    <xf numFmtId="0" fontId="3" fillId="13" borderId="0" xfId="0" applyFont="1" applyFill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left"/>
    </xf>
    <xf numFmtId="0" fontId="7" fillId="13" borderId="0" xfId="0" applyFont="1" applyFill="1"/>
    <xf numFmtId="0" fontId="3" fillId="13" borderId="3" xfId="0" applyFont="1" applyFill="1" applyBorder="1" applyProtection="1"/>
    <xf numFmtId="0" fontId="3" fillId="13" borderId="3" xfId="0" applyFont="1" applyFill="1" applyBorder="1" applyAlignment="1" applyProtection="1">
      <alignment horizontal="center"/>
    </xf>
    <xf numFmtId="0" fontId="3" fillId="13" borderId="2" xfId="0" applyFont="1" applyFill="1" applyBorder="1"/>
    <xf numFmtId="0" fontId="3" fillId="13" borderId="2" xfId="0" applyFont="1" applyFill="1" applyBorder="1" applyProtection="1"/>
    <xf numFmtId="0" fontId="3" fillId="13" borderId="0" xfId="0" applyFont="1" applyFill="1" applyProtection="1"/>
    <xf numFmtId="0" fontId="3" fillId="13" borderId="0" xfId="0" applyFont="1" applyFill="1" applyBorder="1" applyProtection="1"/>
    <xf numFmtId="1" fontId="47" fillId="13" borderId="0" xfId="0" applyNumberFormat="1" applyFont="1" applyFill="1" applyBorder="1" applyAlignment="1" applyProtection="1">
      <alignment horizontal="center"/>
    </xf>
    <xf numFmtId="0" fontId="47" fillId="13" borderId="0" xfId="0" applyFont="1" applyFill="1" applyBorder="1" applyAlignment="1" applyProtection="1">
      <alignment horizontal="center"/>
    </xf>
    <xf numFmtId="0" fontId="47" fillId="13" borderId="0" xfId="0" applyFont="1" applyFill="1" applyBorder="1" applyAlignment="1" applyProtection="1"/>
    <xf numFmtId="0" fontId="47" fillId="13" borderId="0" xfId="0" applyFont="1" applyFill="1" applyBorder="1" applyAlignment="1" applyProtection="1">
      <alignment horizontal="right"/>
    </xf>
    <xf numFmtId="1" fontId="47" fillId="13" borderId="0" xfId="0" applyNumberFormat="1" applyFont="1" applyFill="1" applyBorder="1" applyProtection="1"/>
    <xf numFmtId="0" fontId="47" fillId="13" borderId="0" xfId="0" applyFont="1" applyFill="1"/>
    <xf numFmtId="0" fontId="47" fillId="13" borderId="0" xfId="0" applyFont="1" applyFill="1" applyBorder="1" applyProtection="1"/>
    <xf numFmtId="0" fontId="47" fillId="0" borderId="0" xfId="0" applyFont="1"/>
    <xf numFmtId="0" fontId="3" fillId="0" borderId="0" xfId="0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" fontId="4" fillId="0" borderId="0" xfId="0" applyNumberFormat="1" applyFont="1" applyFill="1" applyBorder="1" applyProtection="1"/>
    <xf numFmtId="0" fontId="48" fillId="12" borderId="0" xfId="0" applyFont="1" applyFill="1"/>
    <xf numFmtId="0" fontId="48" fillId="12" borderId="0" xfId="0" applyFont="1" applyFill="1" applyBorder="1" applyProtection="1"/>
    <xf numFmtId="0" fontId="48" fillId="12" borderId="0" xfId="0" applyFont="1" applyFill="1" applyBorder="1"/>
    <xf numFmtId="0" fontId="8" fillId="12" borderId="0" xfId="0" applyFont="1" applyFill="1"/>
    <xf numFmtId="0" fontId="8" fillId="12" borderId="0" xfId="0" applyFont="1" applyFill="1" applyBorder="1"/>
    <xf numFmtId="0" fontId="8" fillId="12" borderId="0" xfId="0" applyFont="1" applyFill="1" applyBorder="1" applyProtection="1"/>
    <xf numFmtId="0" fontId="8" fillId="12" borderId="3" xfId="0" applyFont="1" applyFill="1" applyBorder="1" applyProtection="1"/>
    <xf numFmtId="0" fontId="4" fillId="0" borderId="0" xfId="0" applyFont="1"/>
    <xf numFmtId="0" fontId="49" fillId="4" borderId="5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Protection="1"/>
    <xf numFmtId="0" fontId="24" fillId="0" borderId="0" xfId="0" applyFont="1" applyFill="1" applyBorder="1" applyAlignment="1" applyProtection="1"/>
    <xf numFmtId="0" fontId="29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right"/>
    </xf>
    <xf numFmtId="1" fontId="24" fillId="0" borderId="0" xfId="0" applyNumberFormat="1" applyFont="1" applyFill="1" applyBorder="1" applyProtection="1"/>
    <xf numFmtId="0" fontId="50" fillId="15" borderId="0" xfId="0" applyFont="1" applyFill="1" applyBorder="1"/>
    <xf numFmtId="0" fontId="50" fillId="15" borderId="0" xfId="0" applyFont="1" applyFill="1" applyBorder="1" applyProtection="1"/>
    <xf numFmtId="0" fontId="3" fillId="15" borderId="0" xfId="0" applyFont="1" applyFill="1"/>
    <xf numFmtId="0" fontId="3" fillId="15" borderId="0" xfId="0" applyFont="1" applyFill="1" applyProtection="1"/>
    <xf numFmtId="0" fontId="3" fillId="15" borderId="3" xfId="0" applyFont="1" applyFill="1" applyBorder="1" applyProtection="1"/>
    <xf numFmtId="0" fontId="52" fillId="0" borderId="0" xfId="0" applyFont="1"/>
    <xf numFmtId="0" fontId="52" fillId="15" borderId="0" xfId="0" applyFont="1" applyFill="1" applyBorder="1"/>
    <xf numFmtId="0" fontId="52" fillId="15" borderId="0" xfId="0" applyFont="1" applyFill="1" applyBorder="1" applyProtection="1"/>
    <xf numFmtId="0" fontId="53" fillId="15" borderId="0" xfId="0" applyFont="1" applyFill="1" applyBorder="1" applyAlignment="1" applyProtection="1">
      <alignment horizontal="right"/>
    </xf>
    <xf numFmtId="0" fontId="52" fillId="15" borderId="0" xfId="0" applyFont="1" applyFill="1" applyBorder="1" applyAlignment="1" applyProtection="1"/>
    <xf numFmtId="0" fontId="52" fillId="15" borderId="0" xfId="0" applyFont="1" applyFill="1" applyBorder="1" applyAlignment="1" applyProtection="1">
      <alignment horizontal="right"/>
    </xf>
    <xf numFmtId="1" fontId="54" fillId="15" borderId="0" xfId="0" applyNumberFormat="1" applyFont="1" applyFill="1" applyBorder="1" applyProtection="1"/>
    <xf numFmtId="0" fontId="55" fillId="12" borderId="0" xfId="0" applyFont="1" applyFill="1" applyBorder="1"/>
    <xf numFmtId="0" fontId="55" fillId="12" borderId="0" xfId="0" applyFont="1" applyFill="1" applyBorder="1" applyProtection="1"/>
    <xf numFmtId="0" fontId="56" fillId="12" borderId="0" xfId="0" applyFont="1" applyFill="1" applyBorder="1" applyProtection="1"/>
    <xf numFmtId="0" fontId="56" fillId="12" borderId="0" xfId="0" applyFont="1" applyFill="1" applyBorder="1" applyAlignment="1" applyProtection="1">
      <alignment horizontal="right"/>
    </xf>
    <xf numFmtId="0" fontId="56" fillId="12" borderId="0" xfId="0" applyFont="1" applyFill="1" applyBorder="1" applyAlignment="1" applyProtection="1"/>
    <xf numFmtId="0" fontId="56" fillId="12" borderId="0" xfId="0" applyFont="1" applyFill="1" applyBorder="1" applyAlignment="1" applyProtection="1">
      <alignment horizontal="left"/>
    </xf>
    <xf numFmtId="1" fontId="56" fillId="12" borderId="0" xfId="0" applyNumberFormat="1" applyFont="1" applyFill="1" applyBorder="1" applyProtection="1"/>
    <xf numFmtId="0" fontId="55" fillId="0" borderId="0" xfId="0" applyFont="1"/>
    <xf numFmtId="0" fontId="3" fillId="16" borderId="0" xfId="0" applyFont="1" applyFill="1"/>
    <xf numFmtId="0" fontId="3" fillId="16" borderId="0" xfId="0" applyFont="1" applyFill="1" applyProtection="1"/>
    <xf numFmtId="0" fontId="58" fillId="16" borderId="0" xfId="0" applyFont="1" applyFill="1"/>
    <xf numFmtId="0" fontId="58" fillId="16" borderId="0" xfId="0" applyFont="1" applyFill="1" applyProtection="1"/>
    <xf numFmtId="0" fontId="51" fillId="16" borderId="0" xfId="0" applyFont="1" applyFill="1" applyBorder="1" applyProtection="1"/>
    <xf numFmtId="0" fontId="51" fillId="16" borderId="0" xfId="0" applyFont="1" applyFill="1" applyBorder="1" applyAlignment="1" applyProtection="1"/>
    <xf numFmtId="0" fontId="51" fillId="16" borderId="0" xfId="0" applyFont="1" applyFill="1" applyBorder="1" applyAlignment="1" applyProtection="1">
      <alignment horizontal="right"/>
    </xf>
    <xf numFmtId="1" fontId="51" fillId="16" borderId="0" xfId="0" applyNumberFormat="1" applyFont="1" applyFill="1" applyBorder="1" applyProtection="1"/>
    <xf numFmtId="0" fontId="51" fillId="16" borderId="0" xfId="0" applyFont="1" applyFill="1" applyBorder="1"/>
    <xf numFmtId="0" fontId="59" fillId="16" borderId="0" xfId="0" applyFont="1" applyFill="1" applyBorder="1" applyAlignment="1" applyProtection="1">
      <alignment horizontal="right"/>
    </xf>
    <xf numFmtId="1" fontId="3" fillId="4" borderId="57" xfId="0" applyNumberFormat="1" applyFont="1" applyFill="1" applyBorder="1" applyAlignment="1" applyProtection="1">
      <alignment horizontal="right"/>
    </xf>
    <xf numFmtId="0" fontId="3" fillId="4" borderId="57" xfId="0" applyFont="1" applyFill="1" applyBorder="1" applyAlignment="1" applyProtection="1">
      <alignment horizontal="right"/>
    </xf>
    <xf numFmtId="0" fontId="3" fillId="4" borderId="40" xfId="0" applyFont="1" applyFill="1" applyBorder="1" applyAlignment="1" applyProtection="1">
      <alignment horizontal="right"/>
    </xf>
    <xf numFmtId="0" fontId="3" fillId="4" borderId="39" xfId="0" applyFont="1" applyFill="1" applyBorder="1" applyAlignment="1" applyProtection="1">
      <alignment horizontal="right"/>
    </xf>
    <xf numFmtId="0" fontId="47" fillId="14" borderId="10" xfId="0" applyFont="1" applyFill="1" applyBorder="1" applyAlignment="1" applyProtection="1"/>
    <xf numFmtId="0" fontId="47" fillId="14" borderId="3" xfId="0" applyFont="1" applyFill="1" applyBorder="1" applyAlignment="1" applyProtection="1"/>
    <xf numFmtId="0" fontId="46" fillId="14" borderId="3" xfId="0" applyFont="1" applyFill="1" applyBorder="1" applyProtection="1"/>
    <xf numFmtId="1" fontId="47" fillId="14" borderId="58" xfId="0" applyNumberFormat="1" applyFont="1" applyFill="1" applyBorder="1" applyAlignment="1" applyProtection="1">
      <alignment horizontal="right"/>
    </xf>
    <xf numFmtId="0" fontId="46" fillId="14" borderId="9" xfId="0" applyFont="1" applyFill="1" applyBorder="1" applyProtection="1"/>
    <xf numFmtId="0" fontId="55" fillId="12" borderId="10" xfId="0" applyFont="1" applyFill="1" applyBorder="1" applyAlignment="1" applyProtection="1"/>
    <xf numFmtId="0" fontId="55" fillId="12" borderId="3" xfId="0" applyFont="1" applyFill="1" applyBorder="1" applyAlignment="1" applyProtection="1"/>
    <xf numFmtId="0" fontId="60" fillId="12" borderId="3" xfId="0" applyFont="1" applyFill="1" applyBorder="1" applyProtection="1"/>
    <xf numFmtId="1" fontId="55" fillId="12" borderId="58" xfId="0" applyNumberFormat="1" applyFont="1" applyFill="1" applyBorder="1" applyAlignment="1" applyProtection="1">
      <alignment horizontal="right"/>
    </xf>
    <xf numFmtId="0" fontId="60" fillId="12" borderId="9" xfId="0" applyFont="1" applyFill="1" applyBorder="1" applyProtection="1"/>
    <xf numFmtId="0" fontId="52" fillId="15" borderId="10" xfId="0" applyFont="1" applyFill="1" applyBorder="1" applyAlignment="1" applyProtection="1"/>
    <xf numFmtId="0" fontId="52" fillId="15" borderId="3" xfId="0" applyFont="1" applyFill="1" applyBorder="1" applyAlignment="1" applyProtection="1"/>
    <xf numFmtId="0" fontId="61" fillId="15" borderId="3" xfId="0" applyFont="1" applyFill="1" applyBorder="1" applyProtection="1"/>
    <xf numFmtId="1" fontId="52" fillId="15" borderId="58" xfId="0" applyNumberFormat="1" applyFont="1" applyFill="1" applyBorder="1" applyAlignment="1" applyProtection="1">
      <alignment horizontal="right"/>
    </xf>
    <xf numFmtId="0" fontId="61" fillId="15" borderId="9" xfId="0" applyFont="1" applyFill="1" applyBorder="1" applyProtection="1"/>
    <xf numFmtId="0" fontId="51" fillId="16" borderId="10" xfId="0" applyFont="1" applyFill="1" applyBorder="1" applyAlignment="1" applyProtection="1"/>
    <xf numFmtId="0" fontId="51" fillId="16" borderId="3" xfId="0" applyFont="1" applyFill="1" applyBorder="1" applyAlignment="1" applyProtection="1"/>
    <xf numFmtId="0" fontId="58" fillId="16" borderId="3" xfId="0" applyFont="1" applyFill="1" applyBorder="1" applyProtection="1"/>
    <xf numFmtId="0" fontId="51" fillId="16" borderId="8" xfId="0" applyFont="1" applyFill="1" applyBorder="1" applyAlignment="1" applyProtection="1">
      <alignment horizontal="right"/>
    </xf>
    <xf numFmtId="1" fontId="51" fillId="16" borderId="58" xfId="0" applyNumberFormat="1" applyFont="1" applyFill="1" applyBorder="1" applyAlignment="1" applyProtection="1">
      <alignment horizontal="right"/>
    </xf>
    <xf numFmtId="0" fontId="58" fillId="16" borderId="9" xfId="0" applyFont="1" applyFill="1" applyBorder="1" applyProtection="1"/>
    <xf numFmtId="0" fontId="62" fillId="4" borderId="28" xfId="0" applyFont="1" applyFill="1" applyBorder="1" applyProtection="1"/>
    <xf numFmtId="0" fontId="63" fillId="4" borderId="28" xfId="0" applyFont="1" applyFill="1" applyBorder="1" applyProtection="1"/>
    <xf numFmtId="0" fontId="62" fillId="4" borderId="0" xfId="0" applyFont="1" applyFill="1" applyBorder="1" applyAlignment="1" applyProtection="1"/>
    <xf numFmtId="0" fontId="64" fillId="4" borderId="28" xfId="0" applyFont="1" applyFill="1" applyBorder="1" applyProtection="1"/>
    <xf numFmtId="0" fontId="64" fillId="4" borderId="0" xfId="0" applyFont="1" applyFill="1" applyBorder="1" applyProtection="1"/>
    <xf numFmtId="0" fontId="64" fillId="4" borderId="0" xfId="0" applyFont="1" applyFill="1" applyBorder="1" applyAlignment="1" applyProtection="1">
      <alignment horizontal="center"/>
    </xf>
    <xf numFmtId="9" fontId="3" fillId="10" borderId="8" xfId="2" applyFont="1" applyFill="1" applyBorder="1" applyAlignme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Protection="1"/>
    <xf numFmtId="0" fontId="47" fillId="0" borderId="0" xfId="0" applyFont="1" applyProtection="1"/>
    <xf numFmtId="0" fontId="55" fillId="0" borderId="0" xfId="0" applyFont="1" applyProtection="1"/>
    <xf numFmtId="0" fontId="52" fillId="0" borderId="0" xfId="0" applyFont="1" applyProtection="1"/>
    <xf numFmtId="0" fontId="4" fillId="0" borderId="0" xfId="0" applyFont="1" applyProtection="1"/>
    <xf numFmtId="0" fontId="8" fillId="0" borderId="8" xfId="0" applyFont="1" applyFill="1" applyBorder="1" applyAlignment="1" applyProtection="1">
      <alignment horizontal="center"/>
      <protection locked="0"/>
    </xf>
    <xf numFmtId="164" fontId="27" fillId="10" borderId="41" xfId="0" applyNumberFormat="1" applyFont="1" applyFill="1" applyBorder="1" applyAlignment="1" applyProtection="1">
      <alignment horizontal="right"/>
    </xf>
    <xf numFmtId="164" fontId="27" fillId="10" borderId="42" xfId="0" applyNumberFormat="1" applyFont="1" applyFill="1" applyBorder="1" applyAlignment="1" applyProtection="1">
      <alignment horizontal="right"/>
    </xf>
    <xf numFmtId="0" fontId="43" fillId="4" borderId="0" xfId="0" applyFont="1" applyFill="1" applyBorder="1" applyAlignment="1" applyProtection="1">
      <alignment horizontal="right"/>
    </xf>
    <xf numFmtId="0" fontId="49" fillId="6" borderId="59" xfId="0" applyFont="1" applyFill="1" applyBorder="1" applyAlignment="1" applyProtection="1">
      <alignment horizontal="right"/>
    </xf>
    <xf numFmtId="0" fontId="65" fillId="4" borderId="0" xfId="0" applyFont="1" applyFill="1" applyBorder="1" applyProtection="1"/>
    <xf numFmtId="0" fontId="65" fillId="4" borderId="0" xfId="0" applyFont="1" applyFill="1" applyBorder="1" applyProtection="1">
      <protection locked="0"/>
    </xf>
    <xf numFmtId="0" fontId="65" fillId="4" borderId="0" xfId="0" applyFont="1" applyFill="1" applyBorder="1" applyAlignment="1" applyProtection="1">
      <alignment horizontal="right"/>
    </xf>
    <xf numFmtId="0" fontId="66" fillId="4" borderId="0" xfId="0" applyFont="1" applyFill="1" applyBorder="1" applyProtection="1"/>
    <xf numFmtId="0" fontId="65" fillId="4" borderId="0" xfId="0" applyFont="1" applyFill="1" applyBorder="1" applyAlignment="1" applyProtection="1">
      <protection locked="0"/>
    </xf>
    <xf numFmtId="0" fontId="65" fillId="4" borderId="0" xfId="0" applyFont="1" applyFill="1" applyBorder="1" applyAlignment="1" applyProtection="1"/>
    <xf numFmtId="0" fontId="67" fillId="4" borderId="28" xfId="0" applyFont="1" applyFill="1" applyBorder="1" applyProtection="1"/>
    <xf numFmtId="0" fontId="67" fillId="4" borderId="0" xfId="0" applyFont="1" applyFill="1" applyBorder="1" applyProtection="1"/>
    <xf numFmtId="0" fontId="67" fillId="6" borderId="0" xfId="0" applyFont="1" applyFill="1" applyBorder="1" applyProtection="1"/>
    <xf numFmtId="164" fontId="67" fillId="4" borderId="0" xfId="0" applyNumberFormat="1" applyFont="1" applyFill="1" applyBorder="1" applyProtection="1"/>
    <xf numFmtId="0" fontId="68" fillId="4" borderId="27" xfId="0" applyFont="1" applyFill="1" applyBorder="1" applyAlignment="1" applyProtection="1">
      <alignment vertical="center" wrapText="1"/>
      <protection locked="0"/>
    </xf>
    <xf numFmtId="0" fontId="65" fillId="4" borderId="4" xfId="0" applyFont="1" applyFill="1" applyBorder="1" applyAlignment="1" applyProtection="1">
      <alignment vertical="center" wrapText="1"/>
    </xf>
    <xf numFmtId="0" fontId="65" fillId="4" borderId="6" xfId="0" applyFont="1" applyFill="1" applyBorder="1" applyAlignment="1" applyProtection="1">
      <alignment vertical="center" wrapText="1"/>
    </xf>
    <xf numFmtId="0" fontId="65" fillId="4" borderId="0" xfId="0" applyFont="1" applyFill="1" applyBorder="1" applyAlignment="1" applyProtection="1">
      <alignment vertical="center" wrapText="1"/>
    </xf>
    <xf numFmtId="0" fontId="68" fillId="4" borderId="28" xfId="0" applyFont="1" applyFill="1" applyBorder="1" applyAlignment="1" applyProtection="1">
      <alignment vertical="center" wrapText="1"/>
      <protection locked="0"/>
    </xf>
    <xf numFmtId="0" fontId="68" fillId="4" borderId="28" xfId="0" applyFont="1" applyFill="1" applyBorder="1" applyAlignment="1" applyProtection="1">
      <alignment horizontal="center" vertical="center" wrapText="1"/>
      <protection locked="0"/>
    </xf>
    <xf numFmtId="0" fontId="65" fillId="4" borderId="6" xfId="0" applyFont="1" applyFill="1" applyBorder="1" applyAlignment="1" applyProtection="1">
      <alignment horizontal="center" vertical="center" wrapText="1"/>
    </xf>
    <xf numFmtId="0" fontId="65" fillId="4" borderId="0" xfId="0" applyFont="1" applyFill="1" applyBorder="1" applyAlignment="1" applyProtection="1">
      <alignment horizontal="center" vertical="center" wrapText="1"/>
    </xf>
    <xf numFmtId="0" fontId="68" fillId="4" borderId="32" xfId="0" applyFont="1" applyFill="1" applyBorder="1" applyAlignment="1" applyProtection="1">
      <alignment horizontal="center" vertical="center" wrapText="1"/>
      <protection locked="0"/>
    </xf>
    <xf numFmtId="0" fontId="65" fillId="4" borderId="7" xfId="0" applyFont="1" applyFill="1" applyBorder="1" applyAlignment="1" applyProtection="1">
      <alignment horizontal="center" vertical="center" wrapText="1"/>
    </xf>
    <xf numFmtId="0" fontId="67" fillId="4" borderId="0" xfId="0" applyFont="1" applyFill="1" applyBorder="1" applyAlignment="1" applyProtection="1">
      <alignment horizontal="center"/>
    </xf>
    <xf numFmtId="0" fontId="67" fillId="4" borderId="0" xfId="0" applyFont="1" applyFill="1" applyBorder="1" applyAlignment="1" applyProtection="1">
      <alignment horizontal="right"/>
      <protection locked="0"/>
    </xf>
    <xf numFmtId="0" fontId="67" fillId="4" borderId="0" xfId="0" applyFont="1" applyFill="1" applyBorder="1" applyAlignment="1" applyProtection="1">
      <alignment horizontal="right"/>
    </xf>
    <xf numFmtId="0" fontId="67" fillId="4" borderId="28" xfId="0" applyFont="1" applyFill="1" applyBorder="1" applyAlignment="1" applyProtection="1">
      <alignment horizontal="right"/>
    </xf>
    <xf numFmtId="0" fontId="65" fillId="4" borderId="28" xfId="0" applyFont="1" applyFill="1" applyBorder="1" applyAlignment="1" applyProtection="1">
      <alignment horizontal="right"/>
    </xf>
    <xf numFmtId="0" fontId="65" fillId="4" borderId="0" xfId="0" applyFont="1" applyFill="1" applyBorder="1" applyAlignment="1" applyProtection="1">
      <alignment horizontal="left"/>
    </xf>
    <xf numFmtId="0" fontId="65" fillId="4" borderId="28" xfId="0" applyFont="1" applyFill="1" applyBorder="1" applyProtection="1"/>
    <xf numFmtId="0" fontId="68" fillId="4" borderId="0" xfId="0" applyFont="1" applyFill="1" applyBorder="1" applyAlignment="1" applyProtection="1">
      <alignment horizontal="right"/>
      <protection locked="0"/>
    </xf>
    <xf numFmtId="0" fontId="69" fillId="4" borderId="0" xfId="0" applyFont="1" applyFill="1" applyBorder="1" applyAlignment="1" applyProtection="1">
      <protection locked="0"/>
    </xf>
    <xf numFmtId="0" fontId="69" fillId="4" borderId="0" xfId="0" applyFont="1" applyFill="1" applyBorder="1" applyAlignment="1"/>
    <xf numFmtId="0" fontId="70" fillId="4" borderId="0" xfId="0" applyFont="1" applyFill="1" applyBorder="1" applyAlignment="1"/>
    <xf numFmtId="0" fontId="68" fillId="4" borderId="0" xfId="0" applyFont="1" applyFill="1" applyBorder="1" applyAlignment="1" applyProtection="1">
      <alignment horizontal="right"/>
    </xf>
    <xf numFmtId="0" fontId="65" fillId="4" borderId="0" xfId="0" applyFont="1" applyFill="1" applyBorder="1" applyAlignment="1" applyProtection="1">
      <alignment horizontal="left" wrapText="1"/>
    </xf>
    <xf numFmtId="0" fontId="68" fillId="4" borderId="0" xfId="0" applyFont="1" applyFill="1" applyBorder="1" applyAlignment="1" applyProtection="1"/>
    <xf numFmtId="0" fontId="68" fillId="4" borderId="0" xfId="0" applyFont="1" applyFill="1" applyBorder="1" applyAlignment="1" applyProtection="1">
      <protection locked="0"/>
    </xf>
    <xf numFmtId="1" fontId="47" fillId="14" borderId="8" xfId="0" applyNumberFormat="1" applyFont="1" applyFill="1" applyBorder="1" applyAlignment="1" applyProtection="1">
      <alignment horizontal="right"/>
    </xf>
    <xf numFmtId="0" fontId="1" fillId="0" borderId="0" xfId="0" applyFont="1"/>
    <xf numFmtId="0" fontId="72" fillId="4" borderId="57" xfId="0" applyFont="1" applyFill="1" applyBorder="1" applyAlignment="1" applyProtection="1">
      <alignment horizontal="center"/>
    </xf>
    <xf numFmtId="0" fontId="71" fillId="17" borderId="8" xfId="0" applyFont="1" applyFill="1" applyBorder="1" applyAlignment="1" applyProtection="1">
      <alignment horizontal="center"/>
    </xf>
    <xf numFmtId="0" fontId="72" fillId="17" borderId="57" xfId="0" applyFont="1" applyFill="1" applyBorder="1" applyAlignment="1" applyProtection="1">
      <alignment horizontal="center"/>
    </xf>
    <xf numFmtId="0" fontId="71" fillId="10" borderId="8" xfId="0" applyFont="1" applyFill="1" applyBorder="1" applyAlignment="1" applyProtection="1">
      <alignment horizontal="center"/>
    </xf>
    <xf numFmtId="0" fontId="72" fillId="10" borderId="57" xfId="0" applyFont="1" applyFill="1" applyBorder="1" applyAlignment="1" applyProtection="1">
      <alignment horizontal="center"/>
    </xf>
    <xf numFmtId="0" fontId="71" fillId="19" borderId="8" xfId="0" applyFont="1" applyFill="1" applyBorder="1" applyAlignment="1" applyProtection="1">
      <alignment horizontal="center"/>
    </xf>
    <xf numFmtId="0" fontId="72" fillId="19" borderId="57" xfId="0" applyFont="1" applyFill="1" applyBorder="1" applyAlignment="1" applyProtection="1">
      <alignment horizontal="center"/>
    </xf>
    <xf numFmtId="0" fontId="71" fillId="20" borderId="8" xfId="0" applyFont="1" applyFill="1" applyBorder="1" applyAlignment="1" applyProtection="1">
      <alignment horizontal="center"/>
    </xf>
    <xf numFmtId="0" fontId="72" fillId="20" borderId="57" xfId="0" applyFont="1" applyFill="1" applyBorder="1" applyAlignment="1" applyProtection="1">
      <alignment horizontal="center"/>
    </xf>
    <xf numFmtId="0" fontId="3" fillId="18" borderId="39" xfId="0" applyFont="1" applyFill="1" applyBorder="1" applyAlignment="1" applyProtection="1">
      <alignment horizontal="center"/>
    </xf>
    <xf numFmtId="0" fontId="3" fillId="17" borderId="39" xfId="0" applyFont="1" applyFill="1" applyBorder="1" applyAlignment="1" applyProtection="1">
      <alignment horizontal="center"/>
    </xf>
    <xf numFmtId="0" fontId="3" fillId="10" borderId="39" xfId="0" applyFont="1" applyFill="1" applyBorder="1" applyAlignment="1" applyProtection="1">
      <alignment horizontal="center"/>
    </xf>
    <xf numFmtId="0" fontId="3" fillId="20" borderId="39" xfId="0" applyFont="1" applyFill="1" applyBorder="1" applyAlignment="1" applyProtection="1">
      <alignment horizontal="center"/>
    </xf>
    <xf numFmtId="0" fontId="71" fillId="21" borderId="8" xfId="0" applyFont="1" applyFill="1" applyBorder="1" applyAlignment="1" applyProtection="1">
      <alignment horizontal="center"/>
    </xf>
    <xf numFmtId="0" fontId="72" fillId="21" borderId="57" xfId="0" applyFont="1" applyFill="1" applyBorder="1" applyAlignment="1" applyProtection="1">
      <alignment horizontal="center"/>
    </xf>
    <xf numFmtId="0" fontId="72" fillId="17" borderId="40" xfId="0" applyFont="1" applyFill="1" applyBorder="1" applyAlignment="1" applyProtection="1">
      <alignment horizontal="center"/>
    </xf>
    <xf numFmtId="0" fontId="72" fillId="19" borderId="40" xfId="0" applyFont="1" applyFill="1" applyBorder="1" applyAlignment="1" applyProtection="1">
      <alignment horizontal="center"/>
    </xf>
    <xf numFmtId="0" fontId="72" fillId="10" borderId="40" xfId="0" applyFont="1" applyFill="1" applyBorder="1" applyAlignment="1" applyProtection="1">
      <alignment horizontal="center"/>
    </xf>
    <xf numFmtId="0" fontId="72" fillId="20" borderId="40" xfId="0" applyFont="1" applyFill="1" applyBorder="1" applyAlignment="1" applyProtection="1">
      <alignment horizontal="center"/>
    </xf>
    <xf numFmtId="1" fontId="55" fillId="12" borderId="8" xfId="0" applyNumberFormat="1" applyFont="1" applyFill="1" applyBorder="1" applyAlignment="1" applyProtection="1">
      <alignment horizontal="right"/>
    </xf>
    <xf numFmtId="1" fontId="52" fillId="15" borderId="8" xfId="0" applyNumberFormat="1" applyFont="1" applyFill="1" applyBorder="1" applyAlignment="1" applyProtection="1">
      <alignment horizontal="right"/>
    </xf>
    <xf numFmtId="0" fontId="73" fillId="4" borderId="57" xfId="0" applyFont="1" applyFill="1" applyBorder="1" applyAlignment="1" applyProtection="1">
      <alignment horizontal="center"/>
    </xf>
    <xf numFmtId="0" fontId="3" fillId="10" borderId="0" xfId="0" applyFont="1" applyFill="1" applyProtection="1"/>
    <xf numFmtId="0" fontId="3" fillId="10" borderId="13" xfId="0" applyFont="1" applyFill="1" applyBorder="1" applyProtection="1"/>
    <xf numFmtId="0" fontId="3" fillId="10" borderId="14" xfId="0" applyFont="1" applyFill="1" applyBorder="1" applyProtection="1"/>
    <xf numFmtId="0" fontId="3" fillId="10" borderId="15" xfId="0" applyFont="1" applyFill="1" applyBorder="1" applyProtection="1"/>
    <xf numFmtId="0" fontId="3" fillId="10" borderId="16" xfId="0" applyFont="1" applyFill="1" applyBorder="1" applyProtection="1"/>
    <xf numFmtId="0" fontId="3" fillId="10" borderId="0" xfId="0" applyFont="1" applyFill="1" applyBorder="1" applyProtection="1"/>
    <xf numFmtId="0" fontId="3" fillId="10" borderId="17" xfId="0" applyFont="1" applyFill="1" applyBorder="1" applyProtection="1"/>
    <xf numFmtId="0" fontId="3" fillId="10" borderId="18" xfId="0" applyFont="1" applyFill="1" applyBorder="1" applyProtection="1"/>
    <xf numFmtId="0" fontId="3" fillId="10" borderId="19" xfId="0" applyFont="1" applyFill="1" applyBorder="1" applyProtection="1"/>
    <xf numFmtId="0" fontId="3" fillId="10" borderId="20" xfId="0" applyFont="1" applyFill="1" applyBorder="1" applyProtection="1"/>
    <xf numFmtId="0" fontId="3" fillId="10" borderId="21" xfId="0" applyFont="1" applyFill="1" applyBorder="1" applyProtection="1"/>
    <xf numFmtId="0" fontId="3" fillId="10" borderId="22" xfId="0" applyFont="1" applyFill="1" applyBorder="1" applyProtection="1"/>
    <xf numFmtId="0" fontId="4" fillId="10" borderId="0" xfId="0" applyFont="1" applyFill="1" applyBorder="1" applyAlignment="1" applyProtection="1"/>
    <xf numFmtId="0" fontId="18" fillId="10" borderId="0" xfId="0" applyFont="1" applyFill="1" applyBorder="1" applyAlignment="1" applyProtection="1"/>
    <xf numFmtId="0" fontId="21" fillId="10" borderId="0" xfId="0" applyFont="1" applyFill="1" applyBorder="1" applyAlignment="1" applyProtection="1">
      <alignment horizontal="right"/>
    </xf>
    <xf numFmtId="0" fontId="3" fillId="10" borderId="23" xfId="0" applyFont="1" applyFill="1" applyBorder="1" applyProtection="1"/>
    <xf numFmtId="0" fontId="3" fillId="10" borderId="24" xfId="0" applyFont="1" applyFill="1" applyBorder="1" applyProtection="1"/>
    <xf numFmtId="0" fontId="3" fillId="10" borderId="25" xfId="0" applyFont="1" applyFill="1" applyBorder="1" applyProtection="1"/>
    <xf numFmtId="0" fontId="3" fillId="22" borderId="0" xfId="0" applyFont="1" applyFill="1"/>
    <xf numFmtId="0" fontId="3" fillId="22" borderId="0" xfId="0" applyFont="1" applyFill="1" applyAlignment="1">
      <alignment horizontal="center"/>
    </xf>
    <xf numFmtId="0" fontId="3" fillId="22" borderId="0" xfId="0" applyFont="1" applyFill="1" applyAlignment="1">
      <alignment horizontal="left"/>
    </xf>
    <xf numFmtId="0" fontId="7" fillId="22" borderId="0" xfId="0" applyFont="1" applyFill="1"/>
    <xf numFmtId="0" fontId="47" fillId="22" borderId="0" xfId="0" applyFont="1" applyFill="1"/>
    <xf numFmtId="0" fontId="8" fillId="22" borderId="0" xfId="0" applyFont="1" applyFill="1"/>
    <xf numFmtId="0" fontId="8" fillId="22" borderId="0" xfId="0" applyFont="1" applyFill="1" applyBorder="1"/>
    <xf numFmtId="0" fontId="55" fillId="22" borderId="0" xfId="0" applyFont="1" applyFill="1"/>
    <xf numFmtId="0" fontId="52" fillId="22" borderId="0" xfId="0" applyFont="1" applyFill="1"/>
    <xf numFmtId="0" fontId="4" fillId="22" borderId="0" xfId="0" applyFont="1" applyFill="1"/>
    <xf numFmtId="0" fontId="3" fillId="22" borderId="0" xfId="0" applyFont="1" applyFill="1" applyProtection="1"/>
    <xf numFmtId="0" fontId="3" fillId="22" borderId="0" xfId="0" applyFont="1" applyFill="1" applyAlignment="1" applyProtection="1">
      <alignment horizontal="center"/>
    </xf>
    <xf numFmtId="0" fontId="3" fillId="22" borderId="0" xfId="0" applyFont="1" applyFill="1" applyAlignment="1" applyProtection="1">
      <alignment horizontal="left"/>
    </xf>
    <xf numFmtId="0" fontId="7" fillId="22" borderId="0" xfId="0" applyFont="1" applyFill="1" applyProtection="1"/>
    <xf numFmtId="0" fontId="47" fillId="22" borderId="0" xfId="0" applyFont="1" applyFill="1" applyProtection="1"/>
    <xf numFmtId="0" fontId="8" fillId="22" borderId="0" xfId="0" applyFont="1" applyFill="1" applyProtection="1"/>
    <xf numFmtId="0" fontId="67" fillId="22" borderId="0" xfId="0" applyFont="1" applyFill="1" applyProtection="1"/>
    <xf numFmtId="0" fontId="8" fillId="22" borderId="0" xfId="0" applyFont="1" applyFill="1" applyBorder="1" applyProtection="1"/>
    <xf numFmtId="0" fontId="55" fillId="22" borderId="0" xfId="0" applyFont="1" applyFill="1" applyProtection="1"/>
    <xf numFmtId="0" fontId="65" fillId="22" borderId="0" xfId="0" applyFont="1" applyFill="1" applyProtection="1"/>
    <xf numFmtId="0" fontId="52" fillId="22" borderId="0" xfId="0" applyFont="1" applyFill="1" applyProtection="1"/>
    <xf numFmtId="0" fontId="4" fillId="22" borderId="0" xfId="0" applyFont="1" applyFill="1" applyProtection="1"/>
    <xf numFmtId="0" fontId="8" fillId="4" borderId="0" xfId="0" applyFont="1" applyFill="1" applyBorder="1" applyAlignment="1" applyProtection="1">
      <alignment horizontal="left" vertical="center"/>
    </xf>
    <xf numFmtId="0" fontId="8" fillId="9" borderId="8" xfId="0" applyFont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right"/>
    </xf>
    <xf numFmtId="0" fontId="3" fillId="4" borderId="28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center"/>
    </xf>
    <xf numFmtId="0" fontId="30" fillId="4" borderId="45" xfId="0" applyFont="1" applyFill="1" applyBorder="1" applyAlignment="1" applyProtection="1">
      <alignment horizontal="center"/>
    </xf>
    <xf numFmtId="0" fontId="30" fillId="4" borderId="46" xfId="0" applyFont="1" applyFill="1" applyBorder="1" applyAlignment="1" applyProtection="1">
      <alignment horizontal="center"/>
    </xf>
    <xf numFmtId="0" fontId="30" fillId="4" borderId="47" xfId="0" applyFont="1" applyFill="1" applyBorder="1" applyAlignment="1" applyProtection="1">
      <alignment horizontal="center"/>
    </xf>
    <xf numFmtId="0" fontId="52" fillId="15" borderId="0" xfId="0" applyFont="1" applyFill="1" applyBorder="1" applyAlignment="1" applyProtection="1">
      <alignment horizontal="left" vertical="center"/>
    </xf>
    <xf numFmtId="0" fontId="51" fillId="16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/>
    </xf>
    <xf numFmtId="0" fontId="3" fillId="4" borderId="55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left"/>
      <protection locked="0"/>
    </xf>
    <xf numFmtId="0" fontId="3" fillId="0" borderId="56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4" borderId="48" xfId="0" applyFont="1" applyFill="1" applyBorder="1" applyAlignment="1" applyProtection="1">
      <alignment horizontal="center"/>
    </xf>
    <xf numFmtId="0" fontId="3" fillId="4" borderId="5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right" wrapText="1"/>
    </xf>
    <xf numFmtId="0" fontId="3" fillId="4" borderId="0" xfId="0" applyFont="1" applyFill="1" applyBorder="1" applyAlignment="1" applyProtection="1">
      <alignment horizontal="left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10" borderId="0" xfId="0" applyFont="1" applyFill="1" applyAlignment="1" applyProtection="1">
      <alignment horizontal="center"/>
    </xf>
    <xf numFmtId="44" fontId="3" fillId="0" borderId="10" xfId="1" applyFont="1" applyBorder="1" applyAlignment="1" applyProtection="1">
      <alignment horizontal="center"/>
      <protection locked="0"/>
    </xf>
    <xf numFmtId="44" fontId="3" fillId="0" borderId="9" xfId="1" applyFont="1" applyBorder="1" applyAlignment="1" applyProtection="1">
      <alignment horizontal="center"/>
      <protection locked="0"/>
    </xf>
    <xf numFmtId="0" fontId="11" fillId="8" borderId="6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0" fontId="3" fillId="0" borderId="53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3" xfId="0" applyFont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/>
    <xf numFmtId="0" fontId="5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57" fillId="12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 applyProtection="1">
      <alignment horizontal="left"/>
    </xf>
    <xf numFmtId="0" fontId="17" fillId="4" borderId="0" xfId="0" applyFont="1" applyFill="1" applyAlignment="1" applyProtection="1">
      <alignment horizontal="center"/>
    </xf>
    <xf numFmtId="0" fontId="17" fillId="4" borderId="1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0" fontId="3" fillId="0" borderId="1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4" fillId="9" borderId="10" xfId="0" applyFont="1" applyFill="1" applyBorder="1" applyAlignment="1" applyProtection="1">
      <alignment horizontal="left"/>
      <protection locked="0"/>
    </xf>
    <xf numFmtId="0" fontId="4" fillId="9" borderId="3" xfId="0" applyFont="1" applyFill="1" applyBorder="1" applyAlignment="1" applyProtection="1">
      <alignment horizontal="left"/>
      <protection locked="0"/>
    </xf>
    <xf numFmtId="0" fontId="4" fillId="9" borderId="9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27" fillId="0" borderId="3" xfId="0" applyFont="1" applyFill="1" applyBorder="1" applyAlignment="1" applyProtection="1">
      <alignment horizontal="left"/>
      <protection locked="0"/>
    </xf>
    <xf numFmtId="0" fontId="27" fillId="0" borderId="9" xfId="0" applyFont="1" applyFill="1" applyBorder="1" applyAlignment="1" applyProtection="1">
      <alignment horizontal="left"/>
      <protection locked="0"/>
    </xf>
    <xf numFmtId="0" fontId="23" fillId="10" borderId="0" xfId="0" applyFont="1" applyFill="1" applyAlignment="1" applyProtection="1">
      <alignment horizontal="center"/>
    </xf>
    <xf numFmtId="0" fontId="3" fillId="0" borderId="8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22" fillId="0" borderId="43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19" fillId="10" borderId="60" xfId="0" applyFont="1" applyFill="1" applyBorder="1" applyAlignment="1" applyProtection="1">
      <alignment horizontal="center"/>
      <protection locked="0"/>
    </xf>
    <xf numFmtId="0" fontId="19" fillId="10" borderId="61" xfId="0" applyFont="1" applyFill="1" applyBorder="1" applyAlignment="1" applyProtection="1">
      <alignment horizontal="center"/>
      <protection locked="0"/>
    </xf>
    <xf numFmtId="0" fontId="19" fillId="10" borderId="62" xfId="0" applyFont="1" applyFill="1" applyBorder="1" applyAlignment="1" applyProtection="1">
      <alignment horizontal="center"/>
      <protection locked="0"/>
    </xf>
    <xf numFmtId="0" fontId="34" fillId="10" borderId="0" xfId="0" applyFont="1" applyFill="1" applyAlignment="1" applyProtection="1">
      <alignment horizontal="center"/>
    </xf>
    <xf numFmtId="0" fontId="3" fillId="10" borderId="1" xfId="0" applyFont="1" applyFill="1" applyBorder="1" applyAlignment="1" applyProtection="1">
      <alignment horizontal="center"/>
    </xf>
    <xf numFmtId="0" fontId="20" fillId="10" borderId="35" xfId="0" applyFont="1" applyFill="1" applyBorder="1" applyAlignment="1" applyProtection="1">
      <alignment horizontal="center"/>
    </xf>
    <xf numFmtId="0" fontId="20" fillId="10" borderId="36" xfId="0" applyFont="1" applyFill="1" applyBorder="1" applyAlignment="1" applyProtection="1">
      <alignment horizontal="center"/>
    </xf>
    <xf numFmtId="0" fontId="20" fillId="10" borderId="37" xfId="0" applyFont="1" applyFill="1" applyBorder="1" applyAlignment="1" applyProtection="1">
      <alignment horizontal="center"/>
    </xf>
    <xf numFmtId="0" fontId="20" fillId="10" borderId="18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>
      <alignment horizontal="center"/>
    </xf>
    <xf numFmtId="0" fontId="20" fillId="10" borderId="19" xfId="0" applyFont="1" applyFill="1" applyBorder="1" applyAlignment="1" applyProtection="1">
      <alignment horizontal="center"/>
    </xf>
    <xf numFmtId="0" fontId="3" fillId="4" borderId="52" xfId="0" applyFont="1" applyFill="1" applyBorder="1" applyAlignment="1" applyProtection="1">
      <alignment horizontal="center"/>
    </xf>
    <xf numFmtId="0" fontId="44" fillId="11" borderId="0" xfId="0" applyFont="1" applyFill="1" applyBorder="1" applyAlignment="1" applyProtection="1">
      <alignment horizontal="left" vertical="center"/>
    </xf>
    <xf numFmtId="0" fontId="45" fillId="13" borderId="0" xfId="0" applyFont="1" applyFill="1" applyBorder="1" applyAlignment="1" applyProtection="1">
      <alignment horizontal="left" vertical="center"/>
    </xf>
    <xf numFmtId="0" fontId="5" fillId="10" borderId="0" xfId="0" applyFont="1" applyFill="1" applyBorder="1" applyAlignment="1" applyProtection="1">
      <alignment horizontal="center" vertical="center"/>
    </xf>
    <xf numFmtId="0" fontId="20" fillId="10" borderId="18" xfId="0" applyNumberFormat="1" applyFont="1" applyFill="1" applyBorder="1" applyAlignment="1" applyProtection="1">
      <alignment horizontal="center"/>
    </xf>
    <xf numFmtId="0" fontId="20" fillId="10" borderId="0" xfId="0" applyNumberFormat="1" applyFont="1" applyFill="1" applyBorder="1" applyAlignment="1" applyProtection="1">
      <alignment horizontal="center"/>
    </xf>
    <xf numFmtId="0" fontId="20" fillId="10" borderId="19" xfId="0" applyNumberFormat="1" applyFont="1" applyFill="1" applyBorder="1" applyAlignment="1" applyProtection="1">
      <alignment horizontal="center"/>
    </xf>
    <xf numFmtId="0" fontId="6" fillId="4" borderId="35" xfId="0" applyFont="1" applyFill="1" applyBorder="1" applyAlignment="1" applyProtection="1">
      <alignment horizontal="center"/>
    </xf>
    <xf numFmtId="0" fontId="6" fillId="4" borderId="36" xfId="0" applyFont="1" applyFill="1" applyBorder="1" applyAlignment="1" applyProtection="1">
      <alignment horizontal="center"/>
    </xf>
    <xf numFmtId="0" fontId="6" fillId="4" borderId="37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right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right"/>
    </xf>
    <xf numFmtId="0" fontId="3" fillId="4" borderId="4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right"/>
    </xf>
    <xf numFmtId="0" fontId="3" fillId="0" borderId="50" xfId="0" applyFont="1" applyFill="1" applyBorder="1" applyAlignment="1" applyProtection="1">
      <alignment horizontal="lef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FF99"/>
      <color rgb="FFFFCC66"/>
      <color rgb="FFFFCCCC"/>
      <color rgb="FFCCFF33"/>
      <color rgb="FF00FF00"/>
      <color rgb="FFCC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N$101" lockText="1" noThreeD="1"/>
</file>

<file path=xl/ctrlProps/ctrlProp11.xml><?xml version="1.0" encoding="utf-8"?>
<formControlPr xmlns="http://schemas.microsoft.com/office/spreadsheetml/2009/9/main" objectType="Radio" firstButton="1" fmlaLink="$N$149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fmlaLink="$I$200" lockText="1" noThreeD="1"/>
</file>

<file path=xl/ctrlProps/ctrlProp18.xml><?xml version="1.0" encoding="utf-8"?>
<formControlPr xmlns="http://schemas.microsoft.com/office/spreadsheetml/2009/9/main" objectType="CheckBox" fmlaLink="$I$201" lockText="1" noThreeD="1"/>
</file>

<file path=xl/ctrlProps/ctrlProp19.xml><?xml version="1.0" encoding="utf-8"?>
<formControlPr xmlns="http://schemas.microsoft.com/office/spreadsheetml/2009/9/main" objectType="CheckBox" fmlaLink="$I$20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I$203" lockText="1" noThreeD="1"/>
</file>

<file path=xl/ctrlProps/ctrlProp21.xml><?xml version="1.0" encoding="utf-8"?>
<formControlPr xmlns="http://schemas.microsoft.com/office/spreadsheetml/2009/9/main" objectType="CheckBox" fmlaLink="$I$204" lockText="1" noThreeD="1"/>
</file>

<file path=xl/ctrlProps/ctrlProp22.xml><?xml version="1.0" encoding="utf-8"?>
<formControlPr xmlns="http://schemas.microsoft.com/office/spreadsheetml/2009/9/main" objectType="CheckBox" fmlaLink="$I$205" lockText="1" noThreeD="1"/>
</file>

<file path=xl/ctrlProps/ctrlProp23.xml><?xml version="1.0" encoding="utf-8"?>
<formControlPr xmlns="http://schemas.microsoft.com/office/spreadsheetml/2009/9/main" objectType="CheckBox" fmlaLink="$K$200" lockText="1" noThreeD="1"/>
</file>

<file path=xl/ctrlProps/ctrlProp24.xml><?xml version="1.0" encoding="utf-8"?>
<formControlPr xmlns="http://schemas.microsoft.com/office/spreadsheetml/2009/9/main" objectType="CheckBox" fmlaLink="$K$201" lockText="1" noThreeD="1"/>
</file>

<file path=xl/ctrlProps/ctrlProp25.xml><?xml version="1.0" encoding="utf-8"?>
<formControlPr xmlns="http://schemas.microsoft.com/office/spreadsheetml/2009/9/main" objectType="CheckBox" fmlaLink="$K$202" lockText="1" noThreeD="1"/>
</file>

<file path=xl/ctrlProps/ctrlProp26.xml><?xml version="1.0" encoding="utf-8"?>
<formControlPr xmlns="http://schemas.microsoft.com/office/spreadsheetml/2009/9/main" objectType="CheckBox" fmlaLink="$K$203" lockText="1" noThreeD="1"/>
</file>

<file path=xl/ctrlProps/ctrlProp27.xml><?xml version="1.0" encoding="utf-8"?>
<formControlPr xmlns="http://schemas.microsoft.com/office/spreadsheetml/2009/9/main" objectType="CheckBox" fmlaLink="$K$204" lockText="1" noThreeD="1"/>
</file>

<file path=xl/ctrlProps/ctrlProp28.xml><?xml version="1.0" encoding="utf-8"?>
<formControlPr xmlns="http://schemas.microsoft.com/office/spreadsheetml/2009/9/main" objectType="CheckBox" fmlaLink="$K$205" lockText="1" noThreeD="1"/>
</file>

<file path=xl/ctrlProps/ctrlProp29.xml><?xml version="1.0" encoding="utf-8"?>
<formControlPr xmlns="http://schemas.microsoft.com/office/spreadsheetml/2009/9/main" objectType="CheckBox" fmlaLink="$N$2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N$215" lockText="1" noThreeD="1"/>
</file>

<file path=xl/ctrlProps/ctrlProp31.xml><?xml version="1.0" encoding="utf-8"?>
<formControlPr xmlns="http://schemas.microsoft.com/office/spreadsheetml/2009/9/main" objectType="CheckBox" fmlaLink="$O$229" lockText="1" noThreeD="1"/>
</file>

<file path=xl/ctrlProps/ctrlProp32.xml><?xml version="1.0" encoding="utf-8"?>
<formControlPr xmlns="http://schemas.microsoft.com/office/spreadsheetml/2009/9/main" objectType="CheckBox" fmlaLink="$O$230" lockText="1" noThreeD="1"/>
</file>

<file path=xl/ctrlProps/ctrlProp33.xml><?xml version="1.0" encoding="utf-8"?>
<formControlPr xmlns="http://schemas.microsoft.com/office/spreadsheetml/2009/9/main" objectType="CheckBox" fmlaLink="$O$231" lockText="1" noThreeD="1"/>
</file>

<file path=xl/ctrlProps/ctrlProp34.xml><?xml version="1.0" encoding="utf-8"?>
<formControlPr xmlns="http://schemas.microsoft.com/office/spreadsheetml/2009/9/main" objectType="CheckBox" fmlaLink="$O$232" lockText="1" noThreeD="1"/>
</file>

<file path=xl/ctrlProps/ctrlProp35.xml><?xml version="1.0" encoding="utf-8"?>
<formControlPr xmlns="http://schemas.microsoft.com/office/spreadsheetml/2009/9/main" objectType="CheckBox" fmlaLink="$O$235" lockText="1" noThreeD="1"/>
</file>

<file path=xl/ctrlProps/ctrlProp36.xml><?xml version="1.0" encoding="utf-8"?>
<formControlPr xmlns="http://schemas.microsoft.com/office/spreadsheetml/2009/9/main" objectType="CheckBox" fmlaLink="$O$236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O$249" lockText="1" noThreeD="1"/>
</file>

<file path=xl/ctrlProps/ctrlProp42.xml><?xml version="1.0" encoding="utf-8"?>
<formControlPr xmlns="http://schemas.microsoft.com/office/spreadsheetml/2009/9/main" objectType="CheckBox" fmlaLink="$O$250" lockText="1" noThreeD="1"/>
</file>

<file path=xl/ctrlProps/ctrlProp43.xml><?xml version="1.0" encoding="utf-8"?>
<formControlPr xmlns="http://schemas.microsoft.com/office/spreadsheetml/2009/9/main" objectType="CheckBox" fmlaLink="$O$252" lockText="1" noThreeD="1"/>
</file>

<file path=xl/ctrlProps/ctrlProp44.xml><?xml version="1.0" encoding="utf-8"?>
<formControlPr xmlns="http://schemas.microsoft.com/office/spreadsheetml/2009/9/main" objectType="CheckBox" fmlaLink="$O$253" lockText="1" noThreeD="1"/>
</file>

<file path=xl/ctrlProps/ctrlProp45.xml><?xml version="1.0" encoding="utf-8"?>
<formControlPr xmlns="http://schemas.microsoft.com/office/spreadsheetml/2009/9/main" objectType="CheckBox" fmlaLink="$O$265" lockText="1" noThreeD="1"/>
</file>

<file path=xl/ctrlProps/ctrlProp46.xml><?xml version="1.0" encoding="utf-8"?>
<formControlPr xmlns="http://schemas.microsoft.com/office/spreadsheetml/2009/9/main" objectType="CheckBox" fmlaLink="$O$266" lockText="1" noThreeD="1"/>
</file>

<file path=xl/ctrlProps/ctrlProp47.xml><?xml version="1.0" encoding="utf-8"?>
<formControlPr xmlns="http://schemas.microsoft.com/office/spreadsheetml/2009/9/main" objectType="CheckBox" fmlaLink="$O$267" lockText="1" noThreeD="1"/>
</file>

<file path=xl/ctrlProps/ctrlProp48.xml><?xml version="1.0" encoding="utf-8"?>
<formControlPr xmlns="http://schemas.microsoft.com/office/spreadsheetml/2009/9/main" objectType="CheckBox" fmlaLink="$O$268" lockText="1" noThreeD="1"/>
</file>

<file path=xl/ctrlProps/ctrlProp49.xml><?xml version="1.0" encoding="utf-8"?>
<formControlPr xmlns="http://schemas.microsoft.com/office/spreadsheetml/2009/9/main" objectType="CheckBox" fmlaLink="$O$269" lockText="1" noThreeD="1"/>
</file>

<file path=xl/ctrlProps/ctrlProp5.xml><?xml version="1.0" encoding="utf-8"?>
<formControlPr xmlns="http://schemas.microsoft.com/office/spreadsheetml/2009/9/main" objectType="CheckBox" fmlaLink="$N$96" lockText="1" noThreeD="1"/>
</file>

<file path=xl/ctrlProps/ctrlProp50.xml><?xml version="1.0" encoding="utf-8"?>
<formControlPr xmlns="http://schemas.microsoft.com/office/spreadsheetml/2009/9/main" objectType="CheckBox" fmlaLink="$O$288" lockText="1" noThreeD="1"/>
</file>

<file path=xl/ctrlProps/ctrlProp51.xml><?xml version="1.0" encoding="utf-8"?>
<formControlPr xmlns="http://schemas.microsoft.com/office/spreadsheetml/2009/9/main" objectType="CheckBox" fmlaLink="$O$289" lockText="1" noThreeD="1"/>
</file>

<file path=xl/ctrlProps/ctrlProp52.xml><?xml version="1.0" encoding="utf-8"?>
<formControlPr xmlns="http://schemas.microsoft.com/office/spreadsheetml/2009/9/main" objectType="CheckBox" fmlaLink="$O$290" lockText="1" noThreeD="1"/>
</file>

<file path=xl/ctrlProps/ctrlProp53.xml><?xml version="1.0" encoding="utf-8"?>
<formControlPr xmlns="http://schemas.microsoft.com/office/spreadsheetml/2009/9/main" objectType="CheckBox" fmlaLink="$O$291" lockText="1" noThreeD="1"/>
</file>

<file path=xl/ctrlProps/ctrlProp54.xml><?xml version="1.0" encoding="utf-8"?>
<formControlPr xmlns="http://schemas.microsoft.com/office/spreadsheetml/2009/9/main" objectType="CheckBox" fmlaLink="$O$311" lockText="1" noThreeD="1"/>
</file>

<file path=xl/ctrlProps/ctrlProp55.xml><?xml version="1.0" encoding="utf-8"?>
<formControlPr xmlns="http://schemas.microsoft.com/office/spreadsheetml/2009/9/main" objectType="CheckBox" fmlaLink="$O$312" lockText="1" noThreeD="1"/>
</file>

<file path=xl/ctrlProps/ctrlProp56.xml><?xml version="1.0" encoding="utf-8"?>
<formControlPr xmlns="http://schemas.microsoft.com/office/spreadsheetml/2009/9/main" objectType="CheckBox" fmlaLink="$O$321" lockText="1" noThreeD="1"/>
</file>

<file path=xl/ctrlProps/ctrlProp57.xml><?xml version="1.0" encoding="utf-8"?>
<formControlPr xmlns="http://schemas.microsoft.com/office/spreadsheetml/2009/9/main" objectType="CheckBox" fmlaLink="$O$322" lockText="1" noThreeD="1"/>
</file>

<file path=xl/ctrlProps/ctrlProp6.xml><?xml version="1.0" encoding="utf-8"?>
<formControlPr xmlns="http://schemas.microsoft.com/office/spreadsheetml/2009/9/main" objectType="CheckBox" fmlaLink="$N$97" lockText="1" noThreeD="1"/>
</file>

<file path=xl/ctrlProps/ctrlProp7.xml><?xml version="1.0" encoding="utf-8"?>
<formControlPr xmlns="http://schemas.microsoft.com/office/spreadsheetml/2009/9/main" objectType="CheckBox" fmlaLink="$N$98" lockText="1" noThreeD="1"/>
</file>

<file path=xl/ctrlProps/ctrlProp8.xml><?xml version="1.0" encoding="utf-8"?>
<formControlPr xmlns="http://schemas.microsoft.com/office/spreadsheetml/2009/9/main" objectType="CheckBox" fmlaLink="$N$99" lockText="1" noThreeD="1"/>
</file>

<file path=xl/ctrlProps/ctrlProp9.xml><?xml version="1.0" encoding="utf-8"?>
<formControlPr xmlns="http://schemas.microsoft.com/office/spreadsheetml/2009/9/main" objectType="CheckBox" fmlaLink="$N$10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65</xdr:row>
          <xdr:rowOff>180975</xdr:rowOff>
        </xdr:from>
        <xdr:to>
          <xdr:col>14</xdr:col>
          <xdr:colOff>0</xdr:colOff>
          <xdr:row>67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66</xdr:row>
          <xdr:rowOff>180975</xdr:rowOff>
        </xdr:from>
        <xdr:to>
          <xdr:col>14</xdr:col>
          <xdr:colOff>0</xdr:colOff>
          <xdr:row>68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67</xdr:row>
          <xdr:rowOff>190500</xdr:rowOff>
        </xdr:from>
        <xdr:to>
          <xdr:col>14</xdr:col>
          <xdr:colOff>0</xdr:colOff>
          <xdr:row>69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69</xdr:row>
          <xdr:rowOff>0</xdr:rowOff>
        </xdr:from>
        <xdr:to>
          <xdr:col>14</xdr:col>
          <xdr:colOff>0</xdr:colOff>
          <xdr:row>70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94</xdr:row>
          <xdr:rowOff>190500</xdr:rowOff>
        </xdr:from>
        <xdr:to>
          <xdr:col>15</xdr:col>
          <xdr:colOff>190500</xdr:colOff>
          <xdr:row>96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95</xdr:row>
          <xdr:rowOff>180975</xdr:rowOff>
        </xdr:from>
        <xdr:to>
          <xdr:col>15</xdr:col>
          <xdr:colOff>190500</xdr:colOff>
          <xdr:row>97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96</xdr:row>
          <xdr:rowOff>180975</xdr:rowOff>
        </xdr:from>
        <xdr:to>
          <xdr:col>15</xdr:col>
          <xdr:colOff>190500</xdr:colOff>
          <xdr:row>98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97</xdr:row>
          <xdr:rowOff>180975</xdr:rowOff>
        </xdr:from>
        <xdr:to>
          <xdr:col>15</xdr:col>
          <xdr:colOff>190500</xdr:colOff>
          <xdr:row>99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99</xdr:row>
          <xdr:rowOff>0</xdr:rowOff>
        </xdr:from>
        <xdr:to>
          <xdr:col>15</xdr:col>
          <xdr:colOff>190500</xdr:colOff>
          <xdr:row>100</xdr:row>
          <xdr:rowOff>28575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100</xdr:row>
          <xdr:rowOff>38100</xdr:rowOff>
        </xdr:from>
        <xdr:to>
          <xdr:col>15</xdr:col>
          <xdr:colOff>190500</xdr:colOff>
          <xdr:row>101</xdr:row>
          <xdr:rowOff>66675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148</xdr:row>
          <xdr:rowOff>0</xdr:rowOff>
        </xdr:from>
        <xdr:to>
          <xdr:col>15</xdr:col>
          <xdr:colOff>219075</xdr:colOff>
          <xdr:row>149</xdr:row>
          <xdr:rowOff>28575</xdr:rowOff>
        </xdr:to>
        <xdr:sp macro="" textlink="">
          <xdr:nvSpPr>
            <xdr:cNvPr id="3141" name="Option Button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149</xdr:row>
          <xdr:rowOff>0</xdr:rowOff>
        </xdr:from>
        <xdr:to>
          <xdr:col>15</xdr:col>
          <xdr:colOff>219075</xdr:colOff>
          <xdr:row>150</xdr:row>
          <xdr:rowOff>28575</xdr:rowOff>
        </xdr:to>
        <xdr:sp macro="" textlink="">
          <xdr:nvSpPr>
            <xdr:cNvPr id="3142" name="Option Button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149</xdr:row>
          <xdr:rowOff>190500</xdr:rowOff>
        </xdr:from>
        <xdr:to>
          <xdr:col>15</xdr:col>
          <xdr:colOff>219075</xdr:colOff>
          <xdr:row>151</xdr:row>
          <xdr:rowOff>9525</xdr:rowOff>
        </xdr:to>
        <xdr:sp macro="" textlink="">
          <xdr:nvSpPr>
            <xdr:cNvPr id="3143" name="Option Button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150</xdr:row>
          <xdr:rowOff>190500</xdr:rowOff>
        </xdr:from>
        <xdr:to>
          <xdr:col>15</xdr:col>
          <xdr:colOff>219075</xdr:colOff>
          <xdr:row>152</xdr:row>
          <xdr:rowOff>9525</xdr:rowOff>
        </xdr:to>
        <xdr:sp macro="" textlink="">
          <xdr:nvSpPr>
            <xdr:cNvPr id="3144" name="Option Button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151</xdr:row>
          <xdr:rowOff>190500</xdr:rowOff>
        </xdr:from>
        <xdr:to>
          <xdr:col>15</xdr:col>
          <xdr:colOff>219075</xdr:colOff>
          <xdr:row>153</xdr:row>
          <xdr:rowOff>9525</xdr:rowOff>
        </xdr:to>
        <xdr:sp macro="" textlink="">
          <xdr:nvSpPr>
            <xdr:cNvPr id="3145" name="Option Button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147</xdr:row>
          <xdr:rowOff>161925</xdr:rowOff>
        </xdr:from>
        <xdr:to>
          <xdr:col>15</xdr:col>
          <xdr:colOff>257175</xdr:colOff>
          <xdr:row>153</xdr:row>
          <xdr:rowOff>114300</xdr:rowOff>
        </xdr:to>
        <xdr:sp macro="" textlink="">
          <xdr:nvSpPr>
            <xdr:cNvPr id="3146" name="Group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199</xdr:row>
          <xdr:rowOff>0</xdr:rowOff>
        </xdr:from>
        <xdr:to>
          <xdr:col>9</xdr:col>
          <xdr:colOff>0</xdr:colOff>
          <xdr:row>200</xdr:row>
          <xdr:rowOff>38100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199</xdr:row>
          <xdr:rowOff>190500</xdr:rowOff>
        </xdr:from>
        <xdr:to>
          <xdr:col>9</xdr:col>
          <xdr:colOff>0</xdr:colOff>
          <xdr:row>201</xdr:row>
          <xdr:rowOff>38100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200</xdr:row>
          <xdr:rowOff>190500</xdr:rowOff>
        </xdr:from>
        <xdr:to>
          <xdr:col>9</xdr:col>
          <xdr:colOff>0</xdr:colOff>
          <xdr:row>202</xdr:row>
          <xdr:rowOff>38100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201</xdr:row>
          <xdr:rowOff>190500</xdr:rowOff>
        </xdr:from>
        <xdr:to>
          <xdr:col>9</xdr:col>
          <xdr:colOff>0</xdr:colOff>
          <xdr:row>203</xdr:row>
          <xdr:rowOff>28575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202</xdr:row>
          <xdr:rowOff>190500</xdr:rowOff>
        </xdr:from>
        <xdr:to>
          <xdr:col>9</xdr:col>
          <xdr:colOff>0</xdr:colOff>
          <xdr:row>204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203</xdr:row>
          <xdr:rowOff>190500</xdr:rowOff>
        </xdr:from>
        <xdr:to>
          <xdr:col>9</xdr:col>
          <xdr:colOff>0</xdr:colOff>
          <xdr:row>205</xdr:row>
          <xdr:rowOff>28575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199</xdr:row>
          <xdr:rowOff>0</xdr:rowOff>
        </xdr:from>
        <xdr:to>
          <xdr:col>11</xdr:col>
          <xdr:colOff>0</xdr:colOff>
          <xdr:row>200</xdr:row>
          <xdr:rowOff>38100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199</xdr:row>
          <xdr:rowOff>190500</xdr:rowOff>
        </xdr:from>
        <xdr:to>
          <xdr:col>11</xdr:col>
          <xdr:colOff>0</xdr:colOff>
          <xdr:row>201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200</xdr:row>
          <xdr:rowOff>190500</xdr:rowOff>
        </xdr:from>
        <xdr:to>
          <xdr:col>11</xdr:col>
          <xdr:colOff>0</xdr:colOff>
          <xdr:row>202</xdr:row>
          <xdr:rowOff>38100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201</xdr:row>
          <xdr:rowOff>190500</xdr:rowOff>
        </xdr:from>
        <xdr:to>
          <xdr:col>11</xdr:col>
          <xdr:colOff>0</xdr:colOff>
          <xdr:row>203</xdr:row>
          <xdr:rowOff>28575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202</xdr:row>
          <xdr:rowOff>190500</xdr:rowOff>
        </xdr:from>
        <xdr:to>
          <xdr:col>11</xdr:col>
          <xdr:colOff>0</xdr:colOff>
          <xdr:row>204</xdr:row>
          <xdr:rowOff>28575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203</xdr:row>
          <xdr:rowOff>190500</xdr:rowOff>
        </xdr:from>
        <xdr:to>
          <xdr:col>11</xdr:col>
          <xdr:colOff>0</xdr:colOff>
          <xdr:row>205</xdr:row>
          <xdr:rowOff>28575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213</xdr:row>
          <xdr:rowOff>9525</xdr:rowOff>
        </xdr:from>
        <xdr:to>
          <xdr:col>15</xdr:col>
          <xdr:colOff>28575</xdr:colOff>
          <xdr:row>214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214</xdr:row>
          <xdr:rowOff>0</xdr:rowOff>
        </xdr:from>
        <xdr:to>
          <xdr:col>15</xdr:col>
          <xdr:colOff>28575</xdr:colOff>
          <xdr:row>215</xdr:row>
          <xdr:rowOff>28575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227</xdr:row>
          <xdr:rowOff>190500</xdr:rowOff>
        </xdr:from>
        <xdr:to>
          <xdr:col>16</xdr:col>
          <xdr:colOff>0</xdr:colOff>
          <xdr:row>229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229</xdr:row>
          <xdr:rowOff>0</xdr:rowOff>
        </xdr:from>
        <xdr:to>
          <xdr:col>15</xdr:col>
          <xdr:colOff>276225</xdr:colOff>
          <xdr:row>230</xdr:row>
          <xdr:rowOff>28575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229</xdr:row>
          <xdr:rowOff>190500</xdr:rowOff>
        </xdr:from>
        <xdr:to>
          <xdr:col>16</xdr:col>
          <xdr:colOff>0</xdr:colOff>
          <xdr:row>231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230</xdr:row>
          <xdr:rowOff>180975</xdr:rowOff>
        </xdr:from>
        <xdr:to>
          <xdr:col>15</xdr:col>
          <xdr:colOff>276225</xdr:colOff>
          <xdr:row>232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233</xdr:row>
          <xdr:rowOff>190500</xdr:rowOff>
        </xdr:from>
        <xdr:to>
          <xdr:col>15</xdr:col>
          <xdr:colOff>266700</xdr:colOff>
          <xdr:row>235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235</xdr:row>
          <xdr:rowOff>9525</xdr:rowOff>
        </xdr:from>
        <xdr:to>
          <xdr:col>15</xdr:col>
          <xdr:colOff>257175</xdr:colOff>
          <xdr:row>236</xdr:row>
          <xdr:rowOff>28575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240</xdr:row>
          <xdr:rowOff>200025</xdr:rowOff>
        </xdr:from>
        <xdr:to>
          <xdr:col>16</xdr:col>
          <xdr:colOff>0</xdr:colOff>
          <xdr:row>242</xdr:row>
          <xdr:rowOff>28575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241</xdr:row>
          <xdr:rowOff>190500</xdr:rowOff>
        </xdr:from>
        <xdr:to>
          <xdr:col>16</xdr:col>
          <xdr:colOff>0</xdr:colOff>
          <xdr:row>243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242</xdr:row>
          <xdr:rowOff>180975</xdr:rowOff>
        </xdr:from>
        <xdr:to>
          <xdr:col>16</xdr:col>
          <xdr:colOff>0</xdr:colOff>
          <xdr:row>244</xdr:row>
          <xdr:rowOff>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243</xdr:row>
          <xdr:rowOff>180975</xdr:rowOff>
        </xdr:from>
        <xdr:to>
          <xdr:col>16</xdr:col>
          <xdr:colOff>0</xdr:colOff>
          <xdr:row>245</xdr:row>
          <xdr:rowOff>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248</xdr:row>
          <xdr:rowOff>0</xdr:rowOff>
        </xdr:from>
        <xdr:to>
          <xdr:col>16</xdr:col>
          <xdr:colOff>9525</xdr:colOff>
          <xdr:row>249</xdr:row>
          <xdr:rowOff>28575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249</xdr:row>
          <xdr:rowOff>0</xdr:rowOff>
        </xdr:from>
        <xdr:to>
          <xdr:col>16</xdr:col>
          <xdr:colOff>9525</xdr:colOff>
          <xdr:row>250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250</xdr:row>
          <xdr:rowOff>180975</xdr:rowOff>
        </xdr:from>
        <xdr:to>
          <xdr:col>16</xdr:col>
          <xdr:colOff>9525</xdr:colOff>
          <xdr:row>252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251</xdr:row>
          <xdr:rowOff>190500</xdr:rowOff>
        </xdr:from>
        <xdr:to>
          <xdr:col>16</xdr:col>
          <xdr:colOff>9525</xdr:colOff>
          <xdr:row>253</xdr:row>
          <xdr:rowOff>28575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263</xdr:row>
          <xdr:rowOff>180975</xdr:rowOff>
        </xdr:from>
        <xdr:to>
          <xdr:col>16</xdr:col>
          <xdr:colOff>0</xdr:colOff>
          <xdr:row>265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264</xdr:row>
          <xdr:rowOff>180975</xdr:rowOff>
        </xdr:from>
        <xdr:to>
          <xdr:col>16</xdr:col>
          <xdr:colOff>0</xdr:colOff>
          <xdr:row>266</xdr:row>
          <xdr:rowOff>9525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265</xdr:row>
          <xdr:rowOff>180975</xdr:rowOff>
        </xdr:from>
        <xdr:to>
          <xdr:col>16</xdr:col>
          <xdr:colOff>0</xdr:colOff>
          <xdr:row>267</xdr:row>
          <xdr:rowOff>9525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266</xdr:row>
          <xdr:rowOff>180975</xdr:rowOff>
        </xdr:from>
        <xdr:to>
          <xdr:col>16</xdr:col>
          <xdr:colOff>0</xdr:colOff>
          <xdr:row>268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267</xdr:row>
          <xdr:rowOff>180975</xdr:rowOff>
        </xdr:from>
        <xdr:to>
          <xdr:col>16</xdr:col>
          <xdr:colOff>0</xdr:colOff>
          <xdr:row>269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287</xdr:row>
          <xdr:rowOff>0</xdr:rowOff>
        </xdr:from>
        <xdr:to>
          <xdr:col>16</xdr:col>
          <xdr:colOff>0</xdr:colOff>
          <xdr:row>288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287</xdr:row>
          <xdr:rowOff>180975</xdr:rowOff>
        </xdr:from>
        <xdr:to>
          <xdr:col>16</xdr:col>
          <xdr:colOff>9525</xdr:colOff>
          <xdr:row>289</xdr:row>
          <xdr:rowOff>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288</xdr:row>
          <xdr:rowOff>180975</xdr:rowOff>
        </xdr:from>
        <xdr:to>
          <xdr:col>16</xdr:col>
          <xdr:colOff>0</xdr:colOff>
          <xdr:row>290</xdr:row>
          <xdr:rowOff>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289</xdr:row>
          <xdr:rowOff>180975</xdr:rowOff>
        </xdr:from>
        <xdr:to>
          <xdr:col>16</xdr:col>
          <xdr:colOff>0</xdr:colOff>
          <xdr:row>291</xdr:row>
          <xdr:rowOff>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310</xdr:row>
          <xdr:rowOff>0</xdr:rowOff>
        </xdr:from>
        <xdr:to>
          <xdr:col>15</xdr:col>
          <xdr:colOff>276225</xdr:colOff>
          <xdr:row>311</xdr:row>
          <xdr:rowOff>28575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310</xdr:row>
          <xdr:rowOff>180975</xdr:rowOff>
        </xdr:from>
        <xdr:to>
          <xdr:col>15</xdr:col>
          <xdr:colOff>276225</xdr:colOff>
          <xdr:row>312</xdr:row>
          <xdr:rowOff>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319</xdr:row>
          <xdr:rowOff>190500</xdr:rowOff>
        </xdr:from>
        <xdr:to>
          <xdr:col>16</xdr:col>
          <xdr:colOff>0</xdr:colOff>
          <xdr:row>321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320</xdr:row>
          <xdr:rowOff>190500</xdr:rowOff>
        </xdr:from>
        <xdr:to>
          <xdr:col>16</xdr:col>
          <xdr:colOff>0</xdr:colOff>
          <xdr:row>322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U396"/>
  <sheetViews>
    <sheetView tabSelected="1" zoomScale="70" zoomScaleNormal="70" zoomScaleSheetLayoutView="70" workbookViewId="0">
      <selection activeCell="N15" sqref="N15"/>
    </sheetView>
  </sheetViews>
  <sheetFormatPr baseColWidth="10" defaultColWidth="6.7109375" defaultRowHeight="15.75" x14ac:dyDescent="0.25"/>
  <cols>
    <col min="1" max="2" width="6.7109375" style="1"/>
    <col min="3" max="3" width="3.85546875" style="1" customWidth="1"/>
    <col min="4" max="6" width="7.28515625" style="1" customWidth="1"/>
    <col min="7" max="7" width="8.42578125" style="1" customWidth="1"/>
    <col min="8" max="11" width="7.28515625" style="1" customWidth="1"/>
    <col min="12" max="12" width="7.85546875" style="1" customWidth="1"/>
    <col min="13" max="13" width="8.140625" style="1" customWidth="1"/>
    <col min="14" max="15" width="7.85546875" style="1" customWidth="1"/>
    <col min="16" max="16" width="4.28515625" style="1" customWidth="1"/>
    <col min="17" max="21" width="6.7109375" style="7"/>
    <col min="22" max="16384" width="6.7109375" style="1"/>
  </cols>
  <sheetData>
    <row r="1" spans="1:17" ht="32.1" customHeight="1" x14ac:dyDescent="0.45">
      <c r="A1" s="422"/>
      <c r="B1" s="404"/>
      <c r="C1" s="404"/>
      <c r="D1" s="520" t="s">
        <v>96</v>
      </c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404"/>
      <c r="Q1" s="432"/>
    </row>
    <row r="2" spans="1:17" ht="32.1" customHeight="1" x14ac:dyDescent="0.25">
      <c r="A2" s="422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32"/>
    </row>
    <row r="3" spans="1:17" ht="32.1" customHeight="1" x14ac:dyDescent="0.35">
      <c r="A3" s="422"/>
      <c r="B3" s="404"/>
      <c r="C3" s="404"/>
      <c r="D3" s="404"/>
      <c r="E3" s="404"/>
      <c r="F3" s="404"/>
      <c r="G3" s="531" t="s">
        <v>262</v>
      </c>
      <c r="H3" s="531"/>
      <c r="I3" s="531"/>
      <c r="J3" s="531"/>
      <c r="K3" s="531"/>
      <c r="L3" s="531"/>
      <c r="M3" s="531"/>
      <c r="N3" s="404"/>
      <c r="O3" s="404"/>
      <c r="P3" s="404"/>
      <c r="Q3" s="432"/>
    </row>
    <row r="4" spans="1:17" ht="32.1" customHeight="1" thickBot="1" x14ac:dyDescent="0.3">
      <c r="A4" s="422"/>
      <c r="B4" s="404"/>
      <c r="C4" s="404"/>
      <c r="D4" s="404"/>
      <c r="E4" s="404"/>
      <c r="F4" s="404"/>
      <c r="G4" s="532"/>
      <c r="H4" s="532"/>
      <c r="I4" s="532"/>
      <c r="J4" s="532"/>
      <c r="K4" s="532"/>
      <c r="L4" s="532"/>
      <c r="M4" s="404"/>
      <c r="N4" s="404"/>
      <c r="O4" s="404"/>
      <c r="P4" s="404"/>
      <c r="Q4" s="432"/>
    </row>
    <row r="5" spans="1:17" ht="32.1" customHeight="1" thickTop="1" thickBot="1" x14ac:dyDescent="0.3">
      <c r="A5" s="422"/>
      <c r="B5" s="404"/>
      <c r="C5" s="404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4"/>
      <c r="Q5" s="432"/>
    </row>
    <row r="6" spans="1:17" ht="32.1" customHeight="1" x14ac:dyDescent="0.3">
      <c r="A6" s="422"/>
      <c r="B6" s="404"/>
      <c r="C6" s="404"/>
      <c r="D6" s="408"/>
      <c r="E6" s="409"/>
      <c r="F6" s="533" t="s">
        <v>244</v>
      </c>
      <c r="G6" s="534"/>
      <c r="H6" s="534"/>
      <c r="I6" s="534"/>
      <c r="J6" s="534"/>
      <c r="K6" s="534"/>
      <c r="L6" s="534"/>
      <c r="M6" s="535"/>
      <c r="N6" s="409"/>
      <c r="O6" s="410"/>
      <c r="P6" s="404"/>
      <c r="Q6" s="432"/>
    </row>
    <row r="7" spans="1:17" ht="32.1" customHeight="1" x14ac:dyDescent="0.3">
      <c r="A7" s="422"/>
      <c r="B7" s="404"/>
      <c r="C7" s="404"/>
      <c r="D7" s="408"/>
      <c r="E7" s="409"/>
      <c r="F7" s="536" t="s">
        <v>245</v>
      </c>
      <c r="G7" s="537"/>
      <c r="H7" s="537"/>
      <c r="I7" s="537"/>
      <c r="J7" s="537"/>
      <c r="K7" s="537"/>
      <c r="L7" s="537"/>
      <c r="M7" s="538"/>
      <c r="N7" s="409"/>
      <c r="O7" s="410"/>
      <c r="P7" s="404"/>
      <c r="Q7" s="432"/>
    </row>
    <row r="8" spans="1:17" ht="32.1" customHeight="1" x14ac:dyDescent="0.25">
      <c r="A8" s="422"/>
      <c r="B8" s="404"/>
      <c r="C8" s="404"/>
      <c r="D8" s="408"/>
      <c r="E8" s="409"/>
      <c r="F8" s="411"/>
      <c r="G8" s="409"/>
      <c r="H8" s="409"/>
      <c r="I8" s="409"/>
      <c r="J8" s="409"/>
      <c r="K8" s="409"/>
      <c r="L8" s="409"/>
      <c r="M8" s="412"/>
      <c r="N8" s="409"/>
      <c r="O8" s="410"/>
      <c r="P8" s="404"/>
      <c r="Q8" s="432"/>
    </row>
    <row r="9" spans="1:17" ht="32.1" customHeight="1" x14ac:dyDescent="0.25">
      <c r="A9" s="422"/>
      <c r="B9" s="404"/>
      <c r="C9" s="404"/>
      <c r="D9" s="408"/>
      <c r="E9" s="409"/>
      <c r="F9" s="525"/>
      <c r="G9" s="526"/>
      <c r="H9" s="526"/>
      <c r="I9" s="526"/>
      <c r="J9" s="526"/>
      <c r="K9" s="526"/>
      <c r="L9" s="526"/>
      <c r="M9" s="527"/>
      <c r="N9" s="409"/>
      <c r="O9" s="410"/>
      <c r="P9" s="404"/>
      <c r="Q9" s="432"/>
    </row>
    <row r="10" spans="1:17" ht="32.1" customHeight="1" thickBot="1" x14ac:dyDescent="0.3">
      <c r="A10" s="422"/>
      <c r="B10" s="404"/>
      <c r="C10" s="404"/>
      <c r="D10" s="408"/>
      <c r="E10" s="409"/>
      <c r="F10" s="413"/>
      <c r="G10" s="414"/>
      <c r="H10" s="414"/>
      <c r="I10" s="414"/>
      <c r="J10" s="414"/>
      <c r="K10" s="414"/>
      <c r="L10" s="414"/>
      <c r="M10" s="415"/>
      <c r="N10" s="409"/>
      <c r="O10" s="410"/>
      <c r="P10" s="404"/>
      <c r="Q10" s="432"/>
    </row>
    <row r="11" spans="1:17" ht="32.1" customHeight="1" x14ac:dyDescent="0.25">
      <c r="A11" s="422"/>
      <c r="B11" s="404"/>
      <c r="C11" s="404"/>
      <c r="D11" s="408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10"/>
      <c r="P11" s="404"/>
      <c r="Q11" s="432"/>
    </row>
    <row r="12" spans="1:17" ht="32.1" customHeight="1" x14ac:dyDescent="0.25">
      <c r="A12" s="422"/>
      <c r="B12" s="404"/>
      <c r="C12" s="404"/>
      <c r="D12" s="408"/>
      <c r="E12" s="409"/>
      <c r="F12" s="542" t="s">
        <v>126</v>
      </c>
      <c r="G12" s="542"/>
      <c r="H12" s="542"/>
      <c r="I12" s="542"/>
      <c r="J12" s="542"/>
      <c r="K12" s="542"/>
      <c r="L12" s="542"/>
      <c r="M12" s="542"/>
      <c r="N12" s="409"/>
      <c r="O12" s="410"/>
      <c r="P12" s="404"/>
      <c r="Q12" s="432"/>
    </row>
    <row r="13" spans="1:17" ht="32.1" customHeight="1" x14ac:dyDescent="0.25">
      <c r="A13" s="422"/>
      <c r="B13" s="404"/>
      <c r="C13" s="404"/>
      <c r="D13" s="408"/>
      <c r="E13" s="409"/>
      <c r="F13" s="542"/>
      <c r="G13" s="542"/>
      <c r="H13" s="542"/>
      <c r="I13" s="542"/>
      <c r="J13" s="542"/>
      <c r="K13" s="542"/>
      <c r="L13" s="542"/>
      <c r="M13" s="542"/>
      <c r="N13" s="409"/>
      <c r="O13" s="410"/>
      <c r="P13" s="404"/>
      <c r="Q13" s="432"/>
    </row>
    <row r="14" spans="1:17" ht="32.1" customHeight="1" thickBot="1" x14ac:dyDescent="0.3">
      <c r="A14" s="422"/>
      <c r="B14" s="404"/>
      <c r="C14" s="404"/>
      <c r="D14" s="408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10"/>
      <c r="P14" s="404"/>
      <c r="Q14" s="432"/>
    </row>
    <row r="15" spans="1:17" ht="32.1" customHeight="1" thickBot="1" x14ac:dyDescent="0.35">
      <c r="A15" s="422"/>
      <c r="B15" s="404"/>
      <c r="C15" s="404"/>
      <c r="D15" s="408"/>
      <c r="E15" s="416" t="s">
        <v>98</v>
      </c>
      <c r="F15" s="409"/>
      <c r="G15" s="409"/>
      <c r="H15" s="417"/>
      <c r="I15" s="417"/>
      <c r="J15" s="417"/>
      <c r="K15" s="409"/>
      <c r="L15" s="409"/>
      <c r="M15" s="418" t="s">
        <v>95</v>
      </c>
      <c r="N15" s="40"/>
      <c r="O15" s="410"/>
      <c r="P15" s="404"/>
      <c r="Q15" s="432"/>
    </row>
    <row r="16" spans="1:17" ht="32.1" customHeight="1" thickBot="1" x14ac:dyDescent="0.3">
      <c r="A16" s="422"/>
      <c r="B16" s="404"/>
      <c r="C16" s="404"/>
      <c r="D16" s="408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10"/>
      <c r="P16" s="404"/>
      <c r="Q16" s="432"/>
    </row>
    <row r="17" spans="1:21" ht="32.1" customHeight="1" x14ac:dyDescent="0.3">
      <c r="A17" s="422"/>
      <c r="B17" s="404"/>
      <c r="C17" s="404"/>
      <c r="D17" s="408"/>
      <c r="E17" s="416" t="s">
        <v>97</v>
      </c>
      <c r="F17" s="416"/>
      <c r="G17" s="416"/>
      <c r="H17" s="528"/>
      <c r="I17" s="529"/>
      <c r="J17" s="529"/>
      <c r="K17" s="529"/>
      <c r="L17" s="529"/>
      <c r="M17" s="529"/>
      <c r="N17" s="530"/>
      <c r="O17" s="410"/>
      <c r="P17" s="404"/>
      <c r="Q17" s="432"/>
    </row>
    <row r="18" spans="1:21" ht="32.1" customHeight="1" x14ac:dyDescent="0.25">
      <c r="A18" s="422"/>
      <c r="B18" s="404"/>
      <c r="C18" s="404"/>
      <c r="D18" s="408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10"/>
      <c r="P18" s="404"/>
      <c r="Q18" s="432"/>
    </row>
    <row r="19" spans="1:21" ht="24" customHeight="1" thickBot="1" x14ac:dyDescent="0.3">
      <c r="A19" s="422"/>
      <c r="B19" s="404"/>
      <c r="C19" s="404"/>
      <c r="D19" s="419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1"/>
      <c r="P19" s="404"/>
      <c r="Q19" s="432"/>
    </row>
    <row r="20" spans="1:21" ht="31.5" customHeight="1" thickTop="1" x14ac:dyDescent="0.25">
      <c r="A20" s="422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32"/>
    </row>
    <row r="21" spans="1:21" ht="31.5" customHeight="1" x14ac:dyDescent="0.25">
      <c r="A21" s="422"/>
      <c r="B21" s="404"/>
      <c r="C21" s="404"/>
      <c r="D21" s="552" t="s">
        <v>260</v>
      </c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404"/>
      <c r="Q21" s="432"/>
    </row>
    <row r="22" spans="1:21" ht="32.1" customHeight="1" x14ac:dyDescent="0.25">
      <c r="A22" s="422"/>
      <c r="B22" s="404"/>
      <c r="C22" s="404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404"/>
      <c r="Q22" s="432"/>
    </row>
    <row r="23" spans="1:21" ht="32.1" customHeight="1" x14ac:dyDescent="0.25">
      <c r="A23" s="422"/>
      <c r="B23" s="404"/>
      <c r="C23" s="404"/>
      <c r="D23" s="483" t="s">
        <v>153</v>
      </c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04"/>
      <c r="Q23" s="432"/>
    </row>
    <row r="24" spans="1:21" ht="21.75" customHeight="1" x14ac:dyDescent="0.25">
      <c r="A24" s="422"/>
      <c r="B24" s="404"/>
      <c r="C24" s="404"/>
      <c r="D24" s="404"/>
      <c r="E24" s="483" t="s">
        <v>154</v>
      </c>
      <c r="F24" s="483"/>
      <c r="G24" s="483"/>
      <c r="H24" s="483"/>
      <c r="I24" s="483"/>
      <c r="J24" s="483"/>
      <c r="K24" s="483"/>
      <c r="L24" s="483"/>
      <c r="M24" s="404"/>
      <c r="N24" s="404"/>
      <c r="O24" s="404"/>
      <c r="P24" s="404"/>
      <c r="Q24" s="432"/>
    </row>
    <row r="25" spans="1:21" s="31" customFormat="1" ht="21.75" customHeight="1" x14ac:dyDescent="0.25">
      <c r="A25" s="422"/>
      <c r="C25" s="211"/>
      <c r="D25" s="211"/>
      <c r="E25" s="214"/>
      <c r="F25" s="214"/>
      <c r="G25" s="214"/>
      <c r="H25" s="214"/>
      <c r="I25" s="214"/>
      <c r="J25" s="214"/>
      <c r="K25" s="214"/>
      <c r="L25" s="214"/>
      <c r="M25" s="211"/>
      <c r="N25" s="211"/>
      <c r="O25" s="211"/>
      <c r="P25" s="211"/>
      <c r="Q25" s="432"/>
      <c r="R25" s="211"/>
      <c r="S25" s="211"/>
      <c r="T25" s="211"/>
      <c r="U25" s="211"/>
    </row>
    <row r="26" spans="1:21" ht="15.75" customHeight="1" x14ac:dyDescent="0.25">
      <c r="A26" s="422"/>
      <c r="B26" s="540" t="s">
        <v>127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432"/>
    </row>
    <row r="27" spans="1:21" ht="15.75" customHeight="1" x14ac:dyDescent="0.25">
      <c r="A27" s="422"/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432"/>
    </row>
    <row r="28" spans="1:21" ht="15.75" customHeight="1" x14ac:dyDescent="0.25">
      <c r="A28" s="422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432"/>
    </row>
    <row r="29" spans="1:21" x14ac:dyDescent="0.25">
      <c r="A29" s="422"/>
      <c r="B29" s="227"/>
      <c r="C29" s="14"/>
      <c r="D29" s="15"/>
      <c r="E29" s="15"/>
      <c r="F29" s="15"/>
      <c r="G29" s="15"/>
      <c r="H29" s="15"/>
      <c r="I29" s="15"/>
      <c r="J29" s="15"/>
      <c r="K29" s="154"/>
      <c r="L29" s="154"/>
      <c r="M29" s="154"/>
      <c r="N29" s="154"/>
      <c r="O29" s="154"/>
      <c r="P29" s="158"/>
      <c r="Q29" s="432"/>
    </row>
    <row r="30" spans="1:21" x14ac:dyDescent="0.25">
      <c r="A30" s="422"/>
      <c r="B30" s="227"/>
      <c r="C30" s="16"/>
      <c r="D30" s="495" t="s">
        <v>4</v>
      </c>
      <c r="E30" s="496"/>
      <c r="F30" s="447"/>
      <c r="G30" s="448"/>
      <c r="H30" s="449"/>
      <c r="I30" s="493" t="s">
        <v>1</v>
      </c>
      <c r="J30" s="494"/>
      <c r="K30" s="463"/>
      <c r="L30" s="464"/>
      <c r="M30" s="464"/>
      <c r="N30" s="465"/>
      <c r="O30" s="21"/>
      <c r="P30" s="159"/>
      <c r="Q30" s="432"/>
    </row>
    <row r="31" spans="1:21" x14ac:dyDescent="0.25">
      <c r="A31" s="422"/>
      <c r="B31" s="227"/>
      <c r="C31" s="490" t="s">
        <v>155</v>
      </c>
      <c r="D31" s="491"/>
      <c r="E31" s="491"/>
      <c r="F31" s="25"/>
      <c r="G31" s="25"/>
      <c r="H31" s="26"/>
      <c r="I31" s="493" t="s">
        <v>151</v>
      </c>
      <c r="J31" s="494"/>
      <c r="K31" s="463"/>
      <c r="L31" s="464"/>
      <c r="M31" s="464"/>
      <c r="N31" s="465"/>
      <c r="O31" s="21"/>
      <c r="P31" s="159"/>
      <c r="Q31" s="432"/>
    </row>
    <row r="32" spans="1:21" x14ac:dyDescent="0.25">
      <c r="A32" s="422"/>
      <c r="B32" s="227"/>
      <c r="C32" s="16"/>
      <c r="D32" s="17"/>
      <c r="E32" s="19"/>
      <c r="F32" s="19"/>
      <c r="G32" s="18"/>
      <c r="H32" s="18"/>
      <c r="I32" s="18"/>
      <c r="J32" s="18"/>
      <c r="K32" s="21"/>
      <c r="L32" s="21"/>
      <c r="M32" s="21"/>
      <c r="N32" s="21"/>
      <c r="O32" s="21"/>
      <c r="P32" s="159"/>
      <c r="Q32" s="432"/>
    </row>
    <row r="33" spans="1:17" x14ac:dyDescent="0.25">
      <c r="A33" s="422"/>
      <c r="B33" s="227"/>
      <c r="C33" s="16"/>
      <c r="D33" s="456" t="s">
        <v>156</v>
      </c>
      <c r="E33" s="456"/>
      <c r="F33" s="456"/>
      <c r="G33" s="456"/>
      <c r="H33" s="473"/>
      <c r="I33" s="492"/>
      <c r="J33" s="492"/>
      <c r="K33" s="492"/>
      <c r="L33" s="474"/>
      <c r="M33" s="21"/>
      <c r="N33" s="21"/>
      <c r="O33" s="21"/>
      <c r="P33" s="159"/>
      <c r="Q33" s="432"/>
    </row>
    <row r="34" spans="1:17" x14ac:dyDescent="0.25">
      <c r="A34" s="422"/>
      <c r="B34" s="227"/>
      <c r="C34" s="16"/>
      <c r="D34" s="17"/>
      <c r="E34" s="19"/>
      <c r="F34" s="19"/>
      <c r="G34" s="18"/>
      <c r="H34" s="18"/>
      <c r="I34" s="18"/>
      <c r="J34" s="18"/>
      <c r="K34" s="21"/>
      <c r="L34" s="21"/>
      <c r="M34" s="21"/>
      <c r="N34" s="21"/>
      <c r="O34" s="21"/>
      <c r="P34" s="159"/>
      <c r="Q34" s="432"/>
    </row>
    <row r="35" spans="1:17" x14ac:dyDescent="0.25">
      <c r="A35" s="422"/>
      <c r="B35" s="227"/>
      <c r="C35" s="16"/>
      <c r="D35" s="149" t="s">
        <v>128</v>
      </c>
      <c r="E35" s="149"/>
      <c r="F35" s="149"/>
      <c r="G35" s="149"/>
      <c r="H35" s="149"/>
      <c r="I35" s="18"/>
      <c r="J35" s="18"/>
      <c r="K35" s="21"/>
      <c r="L35" s="21"/>
      <c r="M35" s="21"/>
      <c r="N35" s="21"/>
      <c r="O35" s="21"/>
      <c r="P35" s="159"/>
      <c r="Q35" s="432"/>
    </row>
    <row r="36" spans="1:17" x14ac:dyDescent="0.25">
      <c r="A36" s="422"/>
      <c r="B36" s="227"/>
      <c r="C36" s="16"/>
      <c r="D36" s="18"/>
      <c r="E36" s="18"/>
      <c r="F36" s="18"/>
      <c r="G36" s="18"/>
      <c r="H36" s="18"/>
      <c r="I36" s="18"/>
      <c r="J36" s="18"/>
      <c r="K36" s="21"/>
      <c r="L36" s="21"/>
      <c r="M36" s="21"/>
      <c r="N36" s="21"/>
      <c r="O36" s="21"/>
      <c r="P36" s="159"/>
      <c r="Q36" s="432"/>
    </row>
    <row r="37" spans="1:17" x14ac:dyDescent="0.25">
      <c r="A37" s="422"/>
      <c r="B37" s="227"/>
      <c r="C37" s="16"/>
      <c r="D37" s="23" t="s">
        <v>0</v>
      </c>
      <c r="E37" s="473"/>
      <c r="F37" s="474"/>
      <c r="G37" s="23" t="s">
        <v>1</v>
      </c>
      <c r="H37" s="463"/>
      <c r="I37" s="464"/>
      <c r="J37" s="465"/>
      <c r="K37" s="481" t="s">
        <v>173</v>
      </c>
      <c r="L37" s="482"/>
      <c r="M37" s="463"/>
      <c r="N37" s="464"/>
      <c r="O37" s="465"/>
      <c r="P37" s="159"/>
      <c r="Q37" s="432"/>
    </row>
    <row r="38" spans="1:17" x14ac:dyDescent="0.25">
      <c r="A38" s="422"/>
      <c r="B38" s="227"/>
      <c r="C38" s="16"/>
      <c r="D38" s="23" t="s">
        <v>0</v>
      </c>
      <c r="E38" s="473"/>
      <c r="F38" s="474"/>
      <c r="G38" s="23" t="s">
        <v>1</v>
      </c>
      <c r="H38" s="463"/>
      <c r="I38" s="464"/>
      <c r="J38" s="465"/>
      <c r="K38" s="481" t="s">
        <v>173</v>
      </c>
      <c r="L38" s="482"/>
      <c r="M38" s="463"/>
      <c r="N38" s="464"/>
      <c r="O38" s="465"/>
      <c r="P38" s="159"/>
      <c r="Q38" s="432"/>
    </row>
    <row r="39" spans="1:17" x14ac:dyDescent="0.25">
      <c r="A39" s="422"/>
      <c r="B39" s="227"/>
      <c r="C39" s="16"/>
      <c r="D39" s="23" t="s">
        <v>0</v>
      </c>
      <c r="E39" s="473"/>
      <c r="F39" s="474"/>
      <c r="G39" s="23" t="s">
        <v>1</v>
      </c>
      <c r="H39" s="463"/>
      <c r="I39" s="464"/>
      <c r="J39" s="465"/>
      <c r="K39" s="481" t="s">
        <v>173</v>
      </c>
      <c r="L39" s="482"/>
      <c r="M39" s="463"/>
      <c r="N39" s="464"/>
      <c r="O39" s="465"/>
      <c r="P39" s="159"/>
      <c r="Q39" s="432"/>
    </row>
    <row r="40" spans="1:17" x14ac:dyDescent="0.25">
      <c r="A40" s="422"/>
      <c r="B40" s="227"/>
      <c r="C40" s="16"/>
      <c r="D40" s="23" t="s">
        <v>0</v>
      </c>
      <c r="E40" s="473"/>
      <c r="F40" s="474"/>
      <c r="G40" s="23" t="s">
        <v>1</v>
      </c>
      <c r="H40" s="463"/>
      <c r="I40" s="464"/>
      <c r="J40" s="465"/>
      <c r="K40" s="481" t="s">
        <v>173</v>
      </c>
      <c r="L40" s="482"/>
      <c r="M40" s="463"/>
      <c r="N40" s="464"/>
      <c r="O40" s="465"/>
      <c r="P40" s="159"/>
      <c r="Q40" s="432"/>
    </row>
    <row r="41" spans="1:17" x14ac:dyDescent="0.25">
      <c r="A41" s="422"/>
      <c r="B41" s="227"/>
      <c r="C41" s="16"/>
      <c r="D41" s="23" t="s">
        <v>0</v>
      </c>
      <c r="E41" s="473"/>
      <c r="F41" s="474"/>
      <c r="G41" s="23" t="s">
        <v>1</v>
      </c>
      <c r="H41" s="463"/>
      <c r="I41" s="464"/>
      <c r="J41" s="465"/>
      <c r="K41" s="481" t="s">
        <v>173</v>
      </c>
      <c r="L41" s="482"/>
      <c r="M41" s="463"/>
      <c r="N41" s="464"/>
      <c r="O41" s="465"/>
      <c r="P41" s="159"/>
      <c r="Q41" s="432"/>
    </row>
    <row r="42" spans="1:17" x14ac:dyDescent="0.25">
      <c r="A42" s="422"/>
      <c r="B42" s="227"/>
      <c r="C42" s="16"/>
      <c r="D42" s="18"/>
      <c r="E42" s="18"/>
      <c r="F42" s="18"/>
      <c r="G42" s="18"/>
      <c r="H42" s="18"/>
      <c r="I42" s="18"/>
      <c r="J42" s="18"/>
      <c r="K42" s="21"/>
      <c r="L42" s="21"/>
      <c r="M42" s="21"/>
      <c r="N42" s="21"/>
      <c r="O42" s="21"/>
      <c r="P42" s="159"/>
      <c r="Q42" s="432"/>
    </row>
    <row r="43" spans="1:17" x14ac:dyDescent="0.25">
      <c r="A43" s="422"/>
      <c r="B43" s="227"/>
      <c r="C43" s="16"/>
      <c r="D43" s="18"/>
      <c r="E43" s="18"/>
      <c r="F43" s="18"/>
      <c r="G43" s="18"/>
      <c r="H43" s="18"/>
      <c r="I43" s="18"/>
      <c r="J43" s="18"/>
      <c r="K43" s="21"/>
      <c r="L43" s="21"/>
      <c r="M43" s="21"/>
      <c r="N43" s="21"/>
      <c r="O43" s="21"/>
      <c r="P43" s="159"/>
      <c r="Q43" s="432"/>
    </row>
    <row r="44" spans="1:17" x14ac:dyDescent="0.25">
      <c r="A44" s="422"/>
      <c r="B44" s="227"/>
      <c r="C44" s="16"/>
      <c r="D44" s="18"/>
      <c r="E44" s="18"/>
      <c r="F44" s="18"/>
      <c r="G44" s="18"/>
      <c r="H44" s="18"/>
      <c r="I44" s="18"/>
      <c r="J44" s="18"/>
      <c r="K44" s="21"/>
      <c r="L44" s="21"/>
      <c r="M44" s="21"/>
      <c r="N44" s="21"/>
      <c r="O44" s="21"/>
      <c r="P44" s="159"/>
      <c r="Q44" s="432"/>
    </row>
    <row r="45" spans="1:17" x14ac:dyDescent="0.25">
      <c r="A45" s="422"/>
      <c r="B45" s="227"/>
      <c r="C45" s="16"/>
      <c r="D45" s="21" t="s">
        <v>129</v>
      </c>
      <c r="E45" s="21"/>
      <c r="F45" s="18"/>
      <c r="G45" s="18"/>
      <c r="H45" s="18"/>
      <c r="I45" s="473"/>
      <c r="J45" s="474"/>
      <c r="K45" s="21"/>
      <c r="L45" s="21"/>
      <c r="M45" s="21"/>
      <c r="N45" s="21"/>
      <c r="O45" s="21"/>
      <c r="P45" s="159"/>
      <c r="Q45" s="432"/>
    </row>
    <row r="46" spans="1:17" x14ac:dyDescent="0.25">
      <c r="A46" s="422"/>
      <c r="B46" s="227"/>
      <c r="C46" s="16"/>
      <c r="D46" s="18"/>
      <c r="E46" s="18"/>
      <c r="F46" s="18"/>
      <c r="G46" s="18"/>
      <c r="H46" s="18"/>
      <c r="I46" s="18"/>
      <c r="J46" s="18"/>
      <c r="K46" s="21"/>
      <c r="L46" s="21"/>
      <c r="M46" s="21"/>
      <c r="N46" s="21"/>
      <c r="O46" s="21"/>
      <c r="P46" s="159"/>
      <c r="Q46" s="432"/>
    </row>
    <row r="47" spans="1:17" x14ac:dyDescent="0.25">
      <c r="A47" s="422"/>
      <c r="B47" s="227"/>
      <c r="C47" s="16"/>
      <c r="D47" s="18"/>
      <c r="E47" s="18"/>
      <c r="F47" s="18"/>
      <c r="G47" s="18"/>
      <c r="H47" s="18"/>
      <c r="I47" s="18"/>
      <c r="J47" s="18"/>
      <c r="K47" s="21"/>
      <c r="L47" s="21"/>
      <c r="M47" s="21"/>
      <c r="N47" s="21"/>
      <c r="O47" s="21"/>
      <c r="P47" s="159"/>
      <c r="Q47" s="432"/>
    </row>
    <row r="48" spans="1:17" x14ac:dyDescent="0.25">
      <c r="A48" s="422"/>
      <c r="B48" s="227"/>
      <c r="C48" s="16"/>
      <c r="D48" s="21" t="s">
        <v>2</v>
      </c>
      <c r="E48" s="21"/>
      <c r="F48" s="21"/>
      <c r="G48" s="18"/>
      <c r="H48" s="224"/>
      <c r="I48" s="18"/>
      <c r="J48" s="18"/>
      <c r="K48" s="463"/>
      <c r="L48" s="464"/>
      <c r="M48" s="465"/>
      <c r="N48" s="21"/>
      <c r="O48" s="21"/>
      <c r="P48" s="159"/>
      <c r="Q48" s="432"/>
    </row>
    <row r="49" spans="1:17" x14ac:dyDescent="0.25">
      <c r="A49" s="422"/>
      <c r="B49" s="227"/>
      <c r="C49" s="16"/>
      <c r="D49" s="18"/>
      <c r="E49" s="18"/>
      <c r="F49" s="18"/>
      <c r="G49" s="18"/>
      <c r="H49" s="18"/>
      <c r="I49" s="18"/>
      <c r="J49" s="18"/>
      <c r="K49" s="21"/>
      <c r="L49" s="21"/>
      <c r="M49" s="21"/>
      <c r="N49" s="21"/>
      <c r="O49" s="21"/>
      <c r="P49" s="159"/>
      <c r="Q49" s="432"/>
    </row>
    <row r="50" spans="1:17" x14ac:dyDescent="0.25">
      <c r="A50" s="422"/>
      <c r="B50" s="227"/>
      <c r="C50" s="16"/>
      <c r="D50" s="21" t="s">
        <v>3</v>
      </c>
      <c r="E50" s="21"/>
      <c r="F50" s="21"/>
      <c r="G50" s="18"/>
      <c r="H50" s="224"/>
      <c r="I50" s="18"/>
      <c r="J50" s="18"/>
      <c r="K50" s="463"/>
      <c r="L50" s="464"/>
      <c r="M50" s="465"/>
      <c r="N50" s="21"/>
      <c r="O50" s="21"/>
      <c r="P50" s="159"/>
      <c r="Q50" s="432"/>
    </row>
    <row r="51" spans="1:17" x14ac:dyDescent="0.25">
      <c r="A51" s="422"/>
      <c r="B51" s="227"/>
      <c r="C51" s="20"/>
      <c r="D51" s="22"/>
      <c r="E51" s="22"/>
      <c r="F51" s="22"/>
      <c r="G51" s="22"/>
      <c r="H51" s="22"/>
      <c r="I51" s="22"/>
      <c r="J51" s="22"/>
      <c r="K51" s="30"/>
      <c r="L51" s="30"/>
      <c r="M51" s="30"/>
      <c r="N51" s="30"/>
      <c r="O51" s="30"/>
      <c r="P51" s="160"/>
      <c r="Q51" s="432"/>
    </row>
    <row r="52" spans="1:17" x14ac:dyDescent="0.25">
      <c r="A52" s="422"/>
      <c r="B52" s="227"/>
      <c r="C52" s="227"/>
      <c r="D52" s="227"/>
      <c r="E52" s="227"/>
      <c r="F52" s="227"/>
      <c r="G52" s="227"/>
      <c r="H52" s="227"/>
      <c r="I52" s="227"/>
      <c r="J52" s="230"/>
      <c r="K52" s="231"/>
      <c r="L52" s="231"/>
      <c r="M52" s="231"/>
      <c r="N52" s="231"/>
      <c r="O52" s="231"/>
      <c r="P52" s="231"/>
      <c r="Q52" s="432"/>
    </row>
    <row r="53" spans="1:17" x14ac:dyDescent="0.25">
      <c r="A53" s="422"/>
      <c r="B53" s="227"/>
      <c r="C53" s="14"/>
      <c r="D53" s="15"/>
      <c r="E53" s="15"/>
      <c r="F53" s="15"/>
      <c r="G53" s="15"/>
      <c r="H53" s="15"/>
      <c r="I53" s="15"/>
      <c r="J53" s="15"/>
      <c r="K53" s="154"/>
      <c r="L53" s="154"/>
      <c r="M53" s="154"/>
      <c r="N53" s="154"/>
      <c r="O53" s="154"/>
      <c r="P53" s="158"/>
      <c r="Q53" s="432"/>
    </row>
    <row r="54" spans="1:17" x14ac:dyDescent="0.25">
      <c r="A54" s="422"/>
      <c r="B54" s="227"/>
      <c r="C54" s="176"/>
      <c r="D54" s="18" t="s">
        <v>190</v>
      </c>
      <c r="E54" s="18"/>
      <c r="F54" s="18"/>
      <c r="G54" s="27"/>
      <c r="H54" s="186"/>
      <c r="I54" s="21"/>
      <c r="J54" s="21"/>
      <c r="K54" s="185" t="s">
        <v>12</v>
      </c>
      <c r="L54" s="222"/>
      <c r="M54" s="21"/>
      <c r="N54" s="21"/>
      <c r="O54" s="21"/>
      <c r="P54" s="159"/>
      <c r="Q54" s="432"/>
    </row>
    <row r="55" spans="1:17" x14ac:dyDescent="0.25">
      <c r="A55" s="422"/>
      <c r="B55" s="227"/>
      <c r="C55" s="16"/>
      <c r="D55" s="18"/>
      <c r="E55" s="18"/>
      <c r="F55" s="18"/>
      <c r="G55" s="18"/>
      <c r="H55" s="18"/>
      <c r="I55" s="18"/>
      <c r="J55" s="18"/>
      <c r="K55" s="21"/>
      <c r="L55" s="21"/>
      <c r="M55" s="21"/>
      <c r="N55" s="21"/>
      <c r="O55" s="21"/>
      <c r="P55" s="159"/>
      <c r="Q55" s="432"/>
    </row>
    <row r="56" spans="1:17" x14ac:dyDescent="0.25">
      <c r="A56" s="422"/>
      <c r="B56" s="227"/>
      <c r="C56" s="175"/>
      <c r="D56" s="161" t="s">
        <v>5</v>
      </c>
      <c r="E56" s="225"/>
      <c r="F56" s="484"/>
      <c r="G56" s="485"/>
      <c r="H56" s="503" t="s">
        <v>11</v>
      </c>
      <c r="I56" s="504"/>
      <c r="J56" s="504"/>
      <c r="K56" s="505"/>
      <c r="L56" s="222"/>
      <c r="M56" s="21"/>
      <c r="N56" s="21"/>
      <c r="O56" s="21"/>
      <c r="P56" s="159"/>
      <c r="Q56" s="432"/>
    </row>
    <row r="57" spans="1:17" x14ac:dyDescent="0.25">
      <c r="A57" s="422"/>
      <c r="B57" s="227"/>
      <c r="C57" s="16"/>
      <c r="D57" s="161"/>
      <c r="E57" s="18"/>
      <c r="F57" s="18"/>
      <c r="G57" s="18"/>
      <c r="H57" s="18"/>
      <c r="I57" s="18"/>
      <c r="J57" s="18"/>
      <c r="K57" s="21"/>
      <c r="L57" s="21"/>
      <c r="M57" s="21"/>
      <c r="N57" s="21"/>
      <c r="O57" s="21"/>
      <c r="P57" s="159"/>
      <c r="Q57" s="432"/>
    </row>
    <row r="58" spans="1:17" x14ac:dyDescent="0.25">
      <c r="A58" s="422"/>
      <c r="B58" s="227"/>
      <c r="C58" s="486" t="s">
        <v>172</v>
      </c>
      <c r="D58" s="487"/>
      <c r="E58" s="487"/>
      <c r="F58" s="488"/>
      <c r="G58" s="223"/>
      <c r="H58" s="506" t="s">
        <v>36</v>
      </c>
      <c r="I58" s="507"/>
      <c r="J58" s="507"/>
      <c r="K58" s="508"/>
      <c r="L58" s="332" t="e">
        <f>L54/L56</f>
        <v>#DIV/0!</v>
      </c>
      <c r="M58" s="21"/>
      <c r="N58" s="21"/>
      <c r="O58" s="21"/>
      <c r="P58" s="159"/>
      <c r="Q58" s="432"/>
    </row>
    <row r="59" spans="1:17" x14ac:dyDescent="0.25">
      <c r="A59" s="422"/>
      <c r="B59" s="227"/>
      <c r="C59" s="16"/>
      <c r="D59" s="18"/>
      <c r="E59" s="18"/>
      <c r="F59" s="18"/>
      <c r="G59" s="18"/>
      <c r="H59" s="18"/>
      <c r="I59" s="18"/>
      <c r="J59" s="18"/>
      <c r="K59" s="21"/>
      <c r="L59" s="21"/>
      <c r="M59" s="21"/>
      <c r="N59" s="21"/>
      <c r="O59" s="21"/>
      <c r="P59" s="159"/>
      <c r="Q59" s="432"/>
    </row>
    <row r="60" spans="1:17" x14ac:dyDescent="0.25">
      <c r="A60" s="422"/>
      <c r="B60" s="227"/>
      <c r="C60" s="16"/>
      <c r="D60" s="18"/>
      <c r="E60" s="18"/>
      <c r="F60" s="18"/>
      <c r="G60" s="18"/>
      <c r="H60" s="18"/>
      <c r="I60" s="18"/>
      <c r="J60" s="18"/>
      <c r="K60" s="21"/>
      <c r="L60" s="21"/>
      <c r="M60" s="21"/>
      <c r="N60" s="21"/>
      <c r="O60" s="21"/>
      <c r="P60" s="159"/>
      <c r="Q60" s="432"/>
    </row>
    <row r="61" spans="1:17" x14ac:dyDescent="0.25">
      <c r="A61" s="422"/>
      <c r="B61" s="227"/>
      <c r="C61" s="16"/>
      <c r="D61" s="504" t="s">
        <v>6</v>
      </c>
      <c r="E61" s="504"/>
      <c r="F61" s="504"/>
      <c r="G61" s="504"/>
      <c r="H61" s="504"/>
      <c r="I61" s="504"/>
      <c r="J61" s="504"/>
      <c r="K61" s="504"/>
      <c r="L61" s="505"/>
      <c r="M61" s="27"/>
      <c r="N61" s="21"/>
      <c r="O61" s="21"/>
      <c r="P61" s="159"/>
      <c r="Q61" s="432"/>
    </row>
    <row r="62" spans="1:17" x14ac:dyDescent="0.25">
      <c r="A62" s="422"/>
      <c r="B62" s="227"/>
      <c r="C62" s="16"/>
      <c r="D62" s="504" t="s">
        <v>10</v>
      </c>
      <c r="E62" s="504"/>
      <c r="F62" s="504"/>
      <c r="G62" s="504"/>
      <c r="H62" s="504"/>
      <c r="I62" s="504"/>
      <c r="J62" s="504"/>
      <c r="K62" s="504"/>
      <c r="L62" s="505"/>
      <c r="M62" s="27"/>
      <c r="N62" s="21"/>
      <c r="O62" s="21"/>
      <c r="P62" s="159"/>
      <c r="Q62" s="432"/>
    </row>
    <row r="63" spans="1:17" x14ac:dyDescent="0.25">
      <c r="A63" s="422"/>
      <c r="B63" s="227"/>
      <c r="C63" s="20"/>
      <c r="D63" s="22"/>
      <c r="E63" s="22"/>
      <c r="F63" s="22"/>
      <c r="G63" s="22"/>
      <c r="H63" s="22"/>
      <c r="I63" s="22"/>
      <c r="J63" s="22"/>
      <c r="K63" s="30"/>
      <c r="L63" s="30"/>
      <c r="M63" s="30"/>
      <c r="N63" s="30"/>
      <c r="O63" s="30"/>
      <c r="P63" s="160"/>
      <c r="Q63" s="432"/>
    </row>
    <row r="64" spans="1:17" x14ac:dyDescent="0.25">
      <c r="A64" s="422"/>
      <c r="B64" s="227"/>
      <c r="C64" s="227"/>
      <c r="D64" s="227"/>
      <c r="E64" s="227"/>
      <c r="F64" s="227"/>
      <c r="G64" s="227"/>
      <c r="H64" s="227"/>
      <c r="I64" s="227"/>
      <c r="J64" s="227"/>
      <c r="K64" s="229"/>
      <c r="L64" s="229"/>
      <c r="M64" s="229"/>
      <c r="N64" s="229"/>
      <c r="O64" s="229"/>
      <c r="P64" s="229"/>
      <c r="Q64" s="432"/>
    </row>
    <row r="65" spans="1:21" x14ac:dyDescent="0.25">
      <c r="A65" s="422"/>
      <c r="B65" s="227"/>
      <c r="C65" s="14"/>
      <c r="D65" s="15"/>
      <c r="E65" s="15"/>
      <c r="F65" s="15"/>
      <c r="G65" s="15"/>
      <c r="H65" s="15"/>
      <c r="I65" s="15"/>
      <c r="J65" s="15"/>
      <c r="K65" s="154"/>
      <c r="L65" s="154"/>
      <c r="M65" s="154"/>
      <c r="N65" s="154"/>
      <c r="O65" s="154"/>
      <c r="P65" s="158"/>
      <c r="Q65" s="432"/>
    </row>
    <row r="66" spans="1:21" x14ac:dyDescent="0.25">
      <c r="A66" s="422"/>
      <c r="B66" s="227"/>
      <c r="C66" s="16"/>
      <c r="D66" s="189" t="s">
        <v>117</v>
      </c>
      <c r="E66" s="189"/>
      <c r="F66" s="24"/>
      <c r="G66" s="24"/>
      <c r="H66" s="24"/>
      <c r="I66" s="188" t="s">
        <v>9</v>
      </c>
      <c r="J66" s="188"/>
      <c r="K66" s="187"/>
      <c r="L66" s="187"/>
      <c r="M66" s="187"/>
      <c r="N66" s="187"/>
      <c r="O66" s="21"/>
      <c r="P66" s="159"/>
      <c r="Q66" s="432"/>
    </row>
    <row r="67" spans="1:21" x14ac:dyDescent="0.25">
      <c r="A67" s="422"/>
      <c r="B67" s="227"/>
      <c r="C67" s="16"/>
      <c r="D67" s="189"/>
      <c r="E67" s="189"/>
      <c r="F67" s="523"/>
      <c r="G67" s="524"/>
      <c r="H67" s="24"/>
      <c r="I67" s="188"/>
      <c r="J67" s="188"/>
      <c r="K67" s="521" t="s">
        <v>193</v>
      </c>
      <c r="L67" s="522"/>
      <c r="M67" s="522"/>
      <c r="N67" s="522"/>
      <c r="O67" s="21"/>
      <c r="P67" s="159"/>
      <c r="Q67" s="432"/>
    </row>
    <row r="68" spans="1:21" x14ac:dyDescent="0.25">
      <c r="A68" s="422"/>
      <c r="B68" s="227"/>
      <c r="C68" s="16"/>
      <c r="D68" s="189"/>
      <c r="E68" s="189"/>
      <c r="F68" s="24"/>
      <c r="G68" s="24"/>
      <c r="H68" s="24"/>
      <c r="I68" s="188"/>
      <c r="J68" s="188"/>
      <c r="K68" s="509" t="s">
        <v>198</v>
      </c>
      <c r="L68" s="510"/>
      <c r="M68" s="510"/>
      <c r="N68" s="511"/>
      <c r="O68" s="21"/>
      <c r="P68" s="159"/>
      <c r="Q68" s="432"/>
    </row>
    <row r="69" spans="1:21" x14ac:dyDescent="0.25">
      <c r="A69" s="422"/>
      <c r="B69" s="227"/>
      <c r="C69" s="16"/>
      <c r="D69" s="189"/>
      <c r="E69" s="189"/>
      <c r="F69" s="18"/>
      <c r="G69" s="18"/>
      <c r="H69" s="24"/>
      <c r="I69" s="188"/>
      <c r="J69" s="188"/>
      <c r="K69" s="509" t="s">
        <v>199</v>
      </c>
      <c r="L69" s="510"/>
      <c r="M69" s="510"/>
      <c r="N69" s="511"/>
      <c r="O69" s="21"/>
      <c r="P69" s="159"/>
      <c r="Q69" s="432"/>
    </row>
    <row r="70" spans="1:21" x14ac:dyDescent="0.25">
      <c r="A70" s="422"/>
      <c r="B70" s="227"/>
      <c r="C70" s="16"/>
      <c r="D70" s="189"/>
      <c r="E70" s="189"/>
      <c r="F70" s="24"/>
      <c r="G70" s="24"/>
      <c r="H70" s="24"/>
      <c r="I70" s="18"/>
      <c r="J70" s="18"/>
      <c r="K70" s="509" t="s">
        <v>200</v>
      </c>
      <c r="L70" s="510"/>
      <c r="M70" s="510"/>
      <c r="N70" s="511"/>
      <c r="O70" s="21"/>
      <c r="P70" s="159"/>
      <c r="Q70" s="432"/>
    </row>
    <row r="71" spans="1:21" x14ac:dyDescent="0.25">
      <c r="A71" s="422"/>
      <c r="B71" s="227"/>
      <c r="C71" s="20"/>
      <c r="D71" s="22"/>
      <c r="E71" s="22"/>
      <c r="F71" s="22"/>
      <c r="G71" s="22"/>
      <c r="H71" s="22"/>
      <c r="I71" s="22"/>
      <c r="J71" s="22"/>
      <c r="K71" s="30"/>
      <c r="L71" s="30"/>
      <c r="M71" s="30"/>
      <c r="N71" s="30"/>
      <c r="O71" s="30"/>
      <c r="P71" s="160"/>
      <c r="Q71" s="432"/>
    </row>
    <row r="72" spans="1:21" x14ac:dyDescent="0.25">
      <c r="A72" s="422"/>
      <c r="B72" s="227"/>
      <c r="C72" s="228"/>
      <c r="D72" s="228"/>
      <c r="E72" s="228"/>
      <c r="F72" s="228"/>
      <c r="G72" s="228"/>
      <c r="H72" s="228"/>
      <c r="I72" s="228"/>
      <c r="J72" s="228"/>
      <c r="K72" s="229"/>
      <c r="L72" s="229"/>
      <c r="M72" s="229"/>
      <c r="N72" s="229"/>
      <c r="O72" s="229"/>
      <c r="P72" s="229"/>
      <c r="Q72" s="432"/>
    </row>
    <row r="73" spans="1:21" s="31" customFormat="1" x14ac:dyDescent="0.25">
      <c r="A73" s="422"/>
      <c r="C73" s="153"/>
      <c r="D73" s="153"/>
      <c r="E73" s="153"/>
      <c r="F73" s="153"/>
      <c r="G73" s="153"/>
      <c r="H73" s="153"/>
      <c r="I73" s="153"/>
      <c r="J73" s="153"/>
      <c r="K73" s="29"/>
      <c r="L73" s="29"/>
      <c r="M73" s="29"/>
      <c r="N73" s="29"/>
      <c r="O73" s="29"/>
      <c r="P73" s="29"/>
      <c r="Q73" s="432"/>
      <c r="R73" s="211"/>
      <c r="S73" s="211"/>
      <c r="T73" s="211"/>
      <c r="U73" s="211"/>
    </row>
    <row r="74" spans="1:21" ht="15.75" customHeight="1" x14ac:dyDescent="0.25">
      <c r="A74" s="422"/>
      <c r="B74" s="541" t="s">
        <v>21</v>
      </c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432"/>
    </row>
    <row r="75" spans="1:21" ht="15.75" customHeight="1" x14ac:dyDescent="0.25">
      <c r="A75" s="422"/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432"/>
    </row>
    <row r="76" spans="1:21" x14ac:dyDescent="0.25">
      <c r="A76" s="422"/>
      <c r="B76" s="232"/>
      <c r="C76" s="162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4"/>
      <c r="Q76" s="432"/>
    </row>
    <row r="77" spans="1:21" x14ac:dyDescent="0.25">
      <c r="A77" s="422"/>
      <c r="B77" s="232"/>
      <c r="C77" s="45"/>
      <c r="D77" s="42" t="s">
        <v>18</v>
      </c>
      <c r="E77" s="34"/>
      <c r="F77" s="34"/>
      <c r="G77" s="34"/>
      <c r="H77" s="34"/>
      <c r="I77" s="34"/>
      <c r="J77" s="34"/>
      <c r="K77" s="34"/>
      <c r="L77" s="512"/>
      <c r="M77" s="513"/>
      <c r="N77" s="513"/>
      <c r="O77" s="514"/>
      <c r="P77" s="47"/>
      <c r="Q77" s="432"/>
    </row>
    <row r="78" spans="1:21" x14ac:dyDescent="0.25">
      <c r="A78" s="422"/>
      <c r="B78" s="232"/>
      <c r="C78" s="45"/>
      <c r="D78" s="34"/>
      <c r="E78" s="34"/>
      <c r="F78" s="34"/>
      <c r="G78" s="34"/>
      <c r="H78" s="34"/>
      <c r="I78" s="556"/>
      <c r="J78" s="556"/>
      <c r="K78" s="556"/>
      <c r="L78" s="69"/>
      <c r="M78" s="69"/>
      <c r="N78" s="69"/>
      <c r="O78" s="69"/>
      <c r="P78" s="47"/>
      <c r="Q78" s="432"/>
    </row>
    <row r="79" spans="1:21" ht="16.5" thickBot="1" x14ac:dyDescent="0.3">
      <c r="A79" s="422"/>
      <c r="B79" s="232"/>
      <c r="C79" s="45"/>
      <c r="D79" s="42"/>
      <c r="E79" s="42"/>
      <c r="F79" s="42"/>
      <c r="G79" s="42"/>
      <c r="H79" s="42"/>
      <c r="I79" s="34"/>
      <c r="J79" s="34"/>
      <c r="K79" s="34"/>
      <c r="L79" s="34"/>
      <c r="M79" s="34"/>
      <c r="N79" s="34"/>
      <c r="O79" s="34"/>
      <c r="P79" s="47"/>
      <c r="Q79" s="432"/>
    </row>
    <row r="80" spans="1:21" s="2" customFormat="1" ht="16.5" thickTop="1" x14ac:dyDescent="0.25">
      <c r="A80" s="423"/>
      <c r="B80" s="233"/>
      <c r="C80" s="48"/>
      <c r="D80" s="557" t="s">
        <v>119</v>
      </c>
      <c r="E80" s="476"/>
      <c r="F80" s="476"/>
      <c r="G80" s="476" t="s">
        <v>13</v>
      </c>
      <c r="H80" s="476"/>
      <c r="I80" s="476"/>
      <c r="J80" s="476" t="s">
        <v>14</v>
      </c>
      <c r="K80" s="476"/>
      <c r="L80" s="476"/>
      <c r="M80" s="476" t="s">
        <v>15</v>
      </c>
      <c r="N80" s="476"/>
      <c r="O80" s="477"/>
      <c r="P80" s="49"/>
      <c r="Q80" s="433"/>
      <c r="R80" s="333"/>
      <c r="S80" s="333"/>
      <c r="T80" s="333"/>
      <c r="U80" s="333"/>
    </row>
    <row r="81" spans="1:21" s="3" customFormat="1" x14ac:dyDescent="0.25">
      <c r="A81" s="424"/>
      <c r="B81" s="234"/>
      <c r="C81" s="50"/>
      <c r="D81" s="466" t="s">
        <v>107</v>
      </c>
      <c r="E81" s="467"/>
      <c r="F81" s="468"/>
      <c r="G81" s="466" t="s">
        <v>107</v>
      </c>
      <c r="H81" s="467"/>
      <c r="I81" s="468"/>
      <c r="J81" s="475" t="s">
        <v>107</v>
      </c>
      <c r="K81" s="467"/>
      <c r="L81" s="468"/>
      <c r="M81" s="475" t="s">
        <v>107</v>
      </c>
      <c r="N81" s="467"/>
      <c r="O81" s="563"/>
      <c r="P81" s="51"/>
      <c r="Q81" s="434"/>
      <c r="R81" s="334"/>
      <c r="S81" s="334"/>
      <c r="T81" s="334"/>
      <c r="U81" s="334"/>
    </row>
    <row r="82" spans="1:21" x14ac:dyDescent="0.25">
      <c r="A82" s="422"/>
      <c r="B82" s="232"/>
      <c r="C82" s="45"/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52"/>
      <c r="P82" s="47"/>
      <c r="Q82" s="432"/>
    </row>
    <row r="83" spans="1:21" x14ac:dyDescent="0.25">
      <c r="A83" s="422"/>
      <c r="B83" s="232"/>
      <c r="C83" s="45"/>
      <c r="D83" s="53" t="s">
        <v>20</v>
      </c>
      <c r="E83" s="54"/>
      <c r="F83" s="54"/>
      <c r="G83" s="54"/>
      <c r="H83" s="34"/>
      <c r="I83" s="34"/>
      <c r="J83" s="34"/>
      <c r="K83" s="34"/>
      <c r="L83" s="34"/>
      <c r="M83" s="34"/>
      <c r="N83" s="34"/>
      <c r="O83" s="52"/>
      <c r="P83" s="47"/>
      <c r="Q83" s="432"/>
    </row>
    <row r="84" spans="1:21" x14ac:dyDescent="0.25">
      <c r="A84" s="422"/>
      <c r="B84" s="232"/>
      <c r="C84" s="45"/>
      <c r="D84" s="539" t="s">
        <v>174</v>
      </c>
      <c r="E84" s="469"/>
      <c r="F84" s="469"/>
      <c r="G84" s="469" t="s">
        <v>16</v>
      </c>
      <c r="H84" s="469"/>
      <c r="I84" s="469"/>
      <c r="J84" s="469" t="s">
        <v>17</v>
      </c>
      <c r="K84" s="469"/>
      <c r="L84" s="469"/>
      <c r="M84" s="469" t="s">
        <v>19</v>
      </c>
      <c r="N84" s="469"/>
      <c r="O84" s="470"/>
      <c r="P84" s="47"/>
      <c r="Q84" s="432"/>
    </row>
    <row r="85" spans="1:21" x14ac:dyDescent="0.25">
      <c r="A85" s="422"/>
      <c r="B85" s="232"/>
      <c r="C85" s="45"/>
      <c r="D85" s="489" t="s">
        <v>107</v>
      </c>
      <c r="E85" s="471"/>
      <c r="F85" s="471"/>
      <c r="G85" s="471"/>
      <c r="H85" s="471"/>
      <c r="I85" s="471"/>
      <c r="J85" s="475"/>
      <c r="K85" s="467"/>
      <c r="L85" s="468"/>
      <c r="M85" s="471" t="s">
        <v>108</v>
      </c>
      <c r="N85" s="471"/>
      <c r="O85" s="472"/>
      <c r="P85" s="47"/>
      <c r="Q85" s="432"/>
    </row>
    <row r="86" spans="1:21" x14ac:dyDescent="0.25">
      <c r="A86" s="422"/>
      <c r="B86" s="232"/>
      <c r="C86" s="45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52"/>
      <c r="P86" s="47"/>
      <c r="Q86" s="432"/>
    </row>
    <row r="87" spans="1:21" ht="16.5" thickBot="1" x14ac:dyDescent="0.3">
      <c r="A87" s="422"/>
      <c r="B87" s="232"/>
      <c r="C87" s="45"/>
      <c r="D87" s="56"/>
      <c r="E87" s="57"/>
      <c r="F87" s="57"/>
      <c r="G87" s="57"/>
      <c r="H87" s="57"/>
      <c r="I87" s="57"/>
      <c r="J87" s="58"/>
      <c r="K87" s="58"/>
      <c r="L87" s="58"/>
      <c r="M87" s="58"/>
      <c r="N87" s="59" t="s">
        <v>114</v>
      </c>
      <c r="O87" s="213"/>
      <c r="P87" s="47"/>
      <c r="Q87" s="432"/>
    </row>
    <row r="88" spans="1:21" ht="17.25" thickTop="1" thickBot="1" x14ac:dyDescent="0.3">
      <c r="A88" s="422"/>
      <c r="B88" s="232"/>
      <c r="C88" s="45"/>
      <c r="D88" s="54"/>
      <c r="E88" s="54"/>
      <c r="F88" s="54"/>
      <c r="G88" s="54"/>
      <c r="H88" s="54"/>
      <c r="I88" s="54"/>
      <c r="J88" s="34"/>
      <c r="K88" s="34"/>
      <c r="L88" s="60"/>
      <c r="M88" s="165"/>
      <c r="N88" s="61"/>
      <c r="O88" s="61"/>
      <c r="P88" s="47"/>
      <c r="Q88" s="432"/>
    </row>
    <row r="89" spans="1:21" ht="16.5" thickBot="1" x14ac:dyDescent="0.3">
      <c r="A89" s="422"/>
      <c r="B89" s="232"/>
      <c r="C89" s="45"/>
      <c r="D89" s="54"/>
      <c r="E89" s="34"/>
      <c r="F89" s="34"/>
      <c r="G89" s="34"/>
      <c r="H89" s="34"/>
      <c r="I89" s="34"/>
      <c r="J89" s="34"/>
      <c r="K89" s="34"/>
      <c r="L89" s="34"/>
      <c r="M89" s="34"/>
      <c r="N89" s="152"/>
      <c r="O89" s="155" t="e">
        <f>VLOOKUP(L77,p_orga,2,FALSE)</f>
        <v>#N/A</v>
      </c>
      <c r="P89" s="156" t="s">
        <v>109</v>
      </c>
      <c r="Q89" s="432"/>
    </row>
    <row r="90" spans="1:21" x14ac:dyDescent="0.25">
      <c r="A90" s="422"/>
      <c r="B90" s="232"/>
      <c r="C90" s="64"/>
      <c r="D90" s="65"/>
      <c r="E90" s="65"/>
      <c r="F90" s="65"/>
      <c r="G90" s="65"/>
      <c r="H90" s="65"/>
      <c r="I90" s="65"/>
      <c r="J90" s="65"/>
      <c r="K90" s="65"/>
      <c r="L90" s="65"/>
      <c r="M90" s="55"/>
      <c r="N90" s="65"/>
      <c r="O90" s="65"/>
      <c r="P90" s="66"/>
      <c r="Q90" s="432"/>
    </row>
    <row r="91" spans="1:21" x14ac:dyDescent="0.25">
      <c r="A91" s="422"/>
      <c r="B91" s="232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7"/>
      <c r="N91" s="236"/>
      <c r="O91" s="236"/>
      <c r="P91" s="236"/>
      <c r="Q91" s="432"/>
    </row>
    <row r="92" spans="1:21" x14ac:dyDescent="0.25">
      <c r="A92" s="422"/>
      <c r="B92" s="232"/>
      <c r="C92" s="41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  <c r="Q92" s="432"/>
    </row>
    <row r="93" spans="1:21" x14ac:dyDescent="0.25">
      <c r="A93" s="422"/>
      <c r="B93" s="232"/>
      <c r="C93" s="45"/>
      <c r="D93" s="42" t="s">
        <v>163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7"/>
      <c r="Q93" s="432"/>
    </row>
    <row r="94" spans="1:21" x14ac:dyDescent="0.25">
      <c r="A94" s="422"/>
      <c r="B94" s="232"/>
      <c r="C94" s="45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7"/>
      <c r="Q94" s="432"/>
    </row>
    <row r="95" spans="1:21" x14ac:dyDescent="0.25">
      <c r="A95" s="422"/>
      <c r="B95" s="232"/>
      <c r="C95" s="45"/>
      <c r="D95" s="34" t="s">
        <v>166</v>
      </c>
      <c r="E95" s="34"/>
      <c r="F95" s="34"/>
      <c r="G95" s="34"/>
      <c r="H95" s="34"/>
      <c r="I95" s="34"/>
      <c r="J95" s="34"/>
      <c r="K95" s="34"/>
      <c r="L95" s="190"/>
      <c r="M95" s="34"/>
      <c r="N95" s="345"/>
      <c r="O95" s="345">
        <f>IF(L95="Oui",1,0)</f>
        <v>0</v>
      </c>
      <c r="P95" s="326"/>
      <c r="Q95" s="432"/>
    </row>
    <row r="96" spans="1:21" x14ac:dyDescent="0.25">
      <c r="A96" s="422"/>
      <c r="B96" s="232"/>
      <c r="C96" s="45"/>
      <c r="D96" s="34" t="s">
        <v>167</v>
      </c>
      <c r="E96" s="34"/>
      <c r="F96" s="34"/>
      <c r="G96" s="34" t="s">
        <v>175</v>
      </c>
      <c r="H96" s="34"/>
      <c r="I96" s="34"/>
      <c r="J96" s="34"/>
      <c r="K96" s="34"/>
      <c r="L96" s="34"/>
      <c r="M96" s="34"/>
      <c r="N96" s="346" t="b">
        <v>0</v>
      </c>
      <c r="O96" s="346">
        <f>IF(N96,2*$O$95,0)</f>
        <v>0</v>
      </c>
      <c r="P96" s="326"/>
      <c r="Q96" s="432"/>
    </row>
    <row r="97" spans="1:21" x14ac:dyDescent="0.25">
      <c r="A97" s="422"/>
      <c r="B97" s="232"/>
      <c r="C97" s="45"/>
      <c r="D97" s="34"/>
      <c r="E97" s="34"/>
      <c r="F97" s="34"/>
      <c r="G97" s="34" t="s">
        <v>164</v>
      </c>
      <c r="H97" s="34"/>
      <c r="I97" s="34"/>
      <c r="J97" s="34"/>
      <c r="K97" s="34"/>
      <c r="L97" s="34"/>
      <c r="M97" s="34"/>
      <c r="N97" s="346" t="b">
        <v>0</v>
      </c>
      <c r="O97" s="346">
        <f>IF(N97,1*$O$95,0)</f>
        <v>0</v>
      </c>
      <c r="P97" s="326"/>
      <c r="Q97" s="432"/>
    </row>
    <row r="98" spans="1:21" x14ac:dyDescent="0.25">
      <c r="A98" s="422"/>
      <c r="B98" s="232"/>
      <c r="C98" s="45"/>
      <c r="D98" s="34"/>
      <c r="E98" s="34"/>
      <c r="F98" s="34"/>
      <c r="G98" s="34" t="s">
        <v>165</v>
      </c>
      <c r="H98" s="34"/>
      <c r="I98" s="34"/>
      <c r="J98" s="34"/>
      <c r="K98" s="34"/>
      <c r="L98" s="34"/>
      <c r="M98" s="34"/>
      <c r="N98" s="346" t="b">
        <v>0</v>
      </c>
      <c r="O98" s="346">
        <f>IF(N98,2*$O$95,0)</f>
        <v>0</v>
      </c>
      <c r="P98" s="326"/>
      <c r="Q98" s="432"/>
    </row>
    <row r="99" spans="1:21" x14ac:dyDescent="0.25">
      <c r="A99" s="422"/>
      <c r="B99" s="232"/>
      <c r="C99" s="45"/>
      <c r="D99" s="34"/>
      <c r="E99" s="34"/>
      <c r="F99" s="34"/>
      <c r="G99" s="34" t="s">
        <v>178</v>
      </c>
      <c r="H99" s="34"/>
      <c r="I99" s="34"/>
      <c r="J99" s="34"/>
      <c r="K99" s="34"/>
      <c r="L99" s="34"/>
      <c r="M99" s="34"/>
      <c r="N99" s="346" t="b">
        <v>0</v>
      </c>
      <c r="O99" s="346">
        <f>IF(N99,2*$O$95,0)</f>
        <v>0</v>
      </c>
      <c r="P99" s="326"/>
      <c r="Q99" s="432"/>
    </row>
    <row r="100" spans="1:21" x14ac:dyDescent="0.25">
      <c r="A100" s="422"/>
      <c r="B100" s="232"/>
      <c r="C100" s="45"/>
      <c r="D100" s="34"/>
      <c r="E100" s="34"/>
      <c r="F100" s="34"/>
      <c r="G100" s="34" t="s">
        <v>176</v>
      </c>
      <c r="H100" s="34"/>
      <c r="I100" s="34"/>
      <c r="J100" s="34"/>
      <c r="K100" s="34"/>
      <c r="L100" s="34"/>
      <c r="M100" s="34"/>
      <c r="N100" s="346" t="b">
        <v>0</v>
      </c>
      <c r="O100" s="346">
        <f>IF(N100,2*$O$95,0)</f>
        <v>0</v>
      </c>
      <c r="P100" s="326"/>
      <c r="Q100" s="432"/>
    </row>
    <row r="101" spans="1:21" x14ac:dyDescent="0.25">
      <c r="A101" s="422"/>
      <c r="B101" s="232"/>
      <c r="C101" s="45"/>
      <c r="D101" s="34"/>
      <c r="E101" s="34"/>
      <c r="F101" s="34"/>
      <c r="G101" s="34" t="s">
        <v>177</v>
      </c>
      <c r="H101" s="34"/>
      <c r="I101" s="34"/>
      <c r="J101" s="34"/>
      <c r="K101" s="34"/>
      <c r="L101" s="34"/>
      <c r="M101" s="34"/>
      <c r="N101" s="346" t="b">
        <v>0</v>
      </c>
      <c r="O101" s="346">
        <f>IF(N101,2*$O$95,0)</f>
        <v>0</v>
      </c>
      <c r="P101" s="326"/>
      <c r="Q101" s="432"/>
    </row>
    <row r="102" spans="1:21" ht="16.5" thickBot="1" x14ac:dyDescent="0.3">
      <c r="A102" s="422"/>
      <c r="B102" s="232"/>
      <c r="C102" s="45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5"/>
      <c r="O102" s="345">
        <f>SUM(O95:O101)*10</f>
        <v>0</v>
      </c>
      <c r="P102" s="326"/>
      <c r="Q102" s="432"/>
    </row>
    <row r="103" spans="1:21" ht="16.5" thickBot="1" x14ac:dyDescent="0.3">
      <c r="A103" s="422"/>
      <c r="B103" s="232"/>
      <c r="C103" s="45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155">
        <f>IF(O102&gt;=100,90,IF(O102&gt;=60,70,IF(O102&gt;=20,30,IF(O102&gt;=10,10,0))))</f>
        <v>0</v>
      </c>
      <c r="P103" s="63" t="s">
        <v>109</v>
      </c>
      <c r="Q103" s="432"/>
    </row>
    <row r="104" spans="1:21" x14ac:dyDescent="0.25">
      <c r="A104" s="422"/>
      <c r="B104" s="232"/>
      <c r="C104" s="6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432"/>
    </row>
    <row r="105" spans="1:21" s="31" customFormat="1" x14ac:dyDescent="0.25">
      <c r="A105" s="422"/>
      <c r="B105" s="232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9"/>
      <c r="Q105" s="432"/>
      <c r="R105" s="211"/>
      <c r="S105" s="211"/>
      <c r="T105" s="211"/>
      <c r="U105" s="211"/>
    </row>
    <row r="106" spans="1:21" x14ac:dyDescent="0.25">
      <c r="A106" s="422"/>
      <c r="B106" s="232"/>
      <c r="C106" s="41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  <c r="Q106" s="432"/>
    </row>
    <row r="107" spans="1:21" x14ac:dyDescent="0.25">
      <c r="A107" s="422"/>
      <c r="B107" s="232"/>
      <c r="C107" s="45"/>
      <c r="D107" s="42" t="s">
        <v>22</v>
      </c>
      <c r="E107" s="42"/>
      <c r="F107" s="34"/>
      <c r="G107" s="34"/>
      <c r="H107" s="54"/>
      <c r="I107" s="67"/>
      <c r="J107" s="68"/>
      <c r="K107" s="46"/>
      <c r="L107" s="69"/>
      <c r="M107" s="69"/>
      <c r="N107" s="69"/>
      <c r="O107" s="69"/>
      <c r="P107" s="47"/>
      <c r="Q107" s="432"/>
    </row>
    <row r="108" spans="1:21" x14ac:dyDescent="0.25">
      <c r="A108" s="422"/>
      <c r="B108" s="232"/>
      <c r="C108" s="45"/>
      <c r="D108" s="454" t="s">
        <v>136</v>
      </c>
      <c r="E108" s="454"/>
      <c r="F108" s="454"/>
      <c r="G108" s="454"/>
      <c r="H108" s="454"/>
      <c r="I108" s="454"/>
      <c r="J108" s="454"/>
      <c r="K108" s="455"/>
      <c r="L108" s="450"/>
      <c r="M108" s="451"/>
      <c r="N108" s="69"/>
      <c r="O108" s="347" t="e">
        <f>VLOOKUP(L108,p_structure,2,FALSE)</f>
        <v>#N/A</v>
      </c>
      <c r="P108" s="326"/>
      <c r="Q108" s="432"/>
    </row>
    <row r="109" spans="1:21" x14ac:dyDescent="0.25">
      <c r="A109" s="422"/>
      <c r="B109" s="232"/>
      <c r="C109" s="45"/>
      <c r="D109" s="454" t="s">
        <v>137</v>
      </c>
      <c r="E109" s="454"/>
      <c r="F109" s="454"/>
      <c r="G109" s="454"/>
      <c r="H109" s="454"/>
      <c r="I109" s="454"/>
      <c r="J109" s="454"/>
      <c r="K109" s="455"/>
      <c r="L109" s="450"/>
      <c r="M109" s="451"/>
      <c r="N109" s="69"/>
      <c r="O109" s="347" t="e">
        <f>VLOOKUP(L109,p_structure,3,FALSE)</f>
        <v>#N/A</v>
      </c>
      <c r="P109" s="326"/>
      <c r="Q109" s="432"/>
    </row>
    <row r="110" spans="1:21" x14ac:dyDescent="0.25">
      <c r="A110" s="422"/>
      <c r="B110" s="232"/>
      <c r="C110" s="45"/>
      <c r="D110" s="454" t="s">
        <v>115</v>
      </c>
      <c r="E110" s="454"/>
      <c r="F110" s="454"/>
      <c r="G110" s="454"/>
      <c r="H110" s="454"/>
      <c r="I110" s="454"/>
      <c r="J110" s="454"/>
      <c r="K110" s="455"/>
      <c r="L110" s="450"/>
      <c r="M110" s="451"/>
      <c r="N110" s="69"/>
      <c r="O110" s="347" t="e">
        <f>VLOOKUP(L110,p_structure,4,FALSE)</f>
        <v>#N/A</v>
      </c>
      <c r="P110" s="326"/>
      <c r="Q110" s="432"/>
    </row>
    <row r="111" spans="1:21" x14ac:dyDescent="0.25">
      <c r="A111" s="422"/>
      <c r="B111" s="232"/>
      <c r="C111" s="45"/>
      <c r="D111" s="454" t="s">
        <v>73</v>
      </c>
      <c r="E111" s="454"/>
      <c r="F111" s="454"/>
      <c r="G111" s="454"/>
      <c r="H111" s="454"/>
      <c r="I111" s="454"/>
      <c r="J111" s="454"/>
      <c r="K111" s="455"/>
      <c r="L111" s="450"/>
      <c r="M111" s="451"/>
      <c r="N111" s="69"/>
      <c r="O111" s="347" t="e">
        <f>VLOOKUP(L111,p_structure,5,FALSE)</f>
        <v>#N/A</v>
      </c>
      <c r="P111" s="326"/>
      <c r="Q111" s="432"/>
    </row>
    <row r="112" spans="1:21" x14ac:dyDescent="0.25">
      <c r="A112" s="422"/>
      <c r="B112" s="232"/>
      <c r="C112" s="45"/>
      <c r="D112" s="454" t="s">
        <v>24</v>
      </c>
      <c r="E112" s="454"/>
      <c r="F112" s="454"/>
      <c r="G112" s="454"/>
      <c r="H112" s="454"/>
      <c r="I112" s="454"/>
      <c r="J112" s="454"/>
      <c r="K112" s="455"/>
      <c r="L112" s="450"/>
      <c r="M112" s="451"/>
      <c r="N112" s="69"/>
      <c r="O112" s="347" t="e">
        <f>VLOOKUP(L112,p_structure,6,FALSE)</f>
        <v>#N/A</v>
      </c>
      <c r="P112" s="326"/>
      <c r="Q112" s="432"/>
    </row>
    <row r="113" spans="1:21" x14ac:dyDescent="0.25">
      <c r="A113" s="422"/>
      <c r="B113" s="232"/>
      <c r="C113" s="45"/>
      <c r="D113" s="454" t="s">
        <v>116</v>
      </c>
      <c r="E113" s="454"/>
      <c r="F113" s="454"/>
      <c r="G113" s="454"/>
      <c r="H113" s="454"/>
      <c r="I113" s="454"/>
      <c r="J113" s="454"/>
      <c r="K113" s="455"/>
      <c r="L113" s="450"/>
      <c r="M113" s="451"/>
      <c r="N113" s="69"/>
      <c r="O113" s="347" t="e">
        <f>VLOOKUP(L113,p_structure,7,FALSE)</f>
        <v>#N/A</v>
      </c>
      <c r="P113" s="326"/>
      <c r="Q113" s="432"/>
    </row>
    <row r="114" spans="1:21" x14ac:dyDescent="0.25">
      <c r="A114" s="422"/>
      <c r="B114" s="232"/>
      <c r="C114" s="45"/>
      <c r="D114" s="454" t="s">
        <v>179</v>
      </c>
      <c r="E114" s="454"/>
      <c r="F114" s="454"/>
      <c r="G114" s="454"/>
      <c r="H114" s="454"/>
      <c r="I114" s="454"/>
      <c r="J114" s="454"/>
      <c r="K114" s="455"/>
      <c r="L114" s="450"/>
      <c r="M114" s="451"/>
      <c r="N114" s="69"/>
      <c r="O114" s="347" t="e">
        <f>VLOOKUP(L114,p_structure,8,FALSE)</f>
        <v>#N/A</v>
      </c>
      <c r="P114" s="326"/>
      <c r="Q114" s="432"/>
    </row>
    <row r="115" spans="1:21" x14ac:dyDescent="0.25">
      <c r="A115" s="422"/>
      <c r="B115" s="232"/>
      <c r="C115" s="45"/>
      <c r="D115" s="34"/>
      <c r="E115" s="34"/>
      <c r="F115" s="34"/>
      <c r="G115" s="34"/>
      <c r="H115" s="34"/>
      <c r="I115" s="34"/>
      <c r="J115" s="34"/>
      <c r="K115" s="68"/>
      <c r="L115" s="34"/>
      <c r="M115" s="67"/>
      <c r="N115" s="34"/>
      <c r="O115" s="347"/>
      <c r="P115" s="326"/>
      <c r="Q115" s="432"/>
    </row>
    <row r="116" spans="1:21" x14ac:dyDescent="0.25">
      <c r="A116" s="422"/>
      <c r="B116" s="232"/>
      <c r="C116" s="45"/>
      <c r="D116" s="454" t="s">
        <v>71</v>
      </c>
      <c r="E116" s="454"/>
      <c r="F116" s="454"/>
      <c r="G116" s="454"/>
      <c r="H116" s="454"/>
      <c r="I116" s="454"/>
      <c r="J116" s="454"/>
      <c r="K116" s="455"/>
      <c r="L116" s="450"/>
      <c r="M116" s="451"/>
      <c r="N116" s="34"/>
      <c r="O116" s="347">
        <f>IF(L116="Oui",30,0)</f>
        <v>0</v>
      </c>
      <c r="P116" s="326"/>
      <c r="Q116" s="432"/>
    </row>
    <row r="117" spans="1:21" ht="16.5" thickBot="1" x14ac:dyDescent="0.3">
      <c r="A117" s="422"/>
      <c r="B117" s="232"/>
      <c r="C117" s="45"/>
      <c r="D117" s="70"/>
      <c r="E117" s="70"/>
      <c r="F117" s="70"/>
      <c r="G117" s="70"/>
      <c r="H117" s="70"/>
      <c r="I117" s="70"/>
      <c r="J117" s="70"/>
      <c r="K117" s="70"/>
      <c r="L117" s="70"/>
      <c r="M117" s="165"/>
      <c r="N117" s="61"/>
      <c r="O117" s="347" t="e">
        <f>SUM(O108:O116)</f>
        <v>#N/A</v>
      </c>
      <c r="P117" s="326"/>
      <c r="Q117" s="432"/>
    </row>
    <row r="118" spans="1:21" ht="16.5" thickBot="1" x14ac:dyDescent="0.3">
      <c r="A118" s="422"/>
      <c r="B118" s="232"/>
      <c r="C118" s="45"/>
      <c r="D118" s="70"/>
      <c r="E118" s="70"/>
      <c r="F118" s="70"/>
      <c r="G118" s="70"/>
      <c r="H118" s="562"/>
      <c r="I118" s="562"/>
      <c r="J118" s="34"/>
      <c r="K118" s="34"/>
      <c r="L118" s="70"/>
      <c r="M118" s="62"/>
      <c r="N118" s="147"/>
      <c r="O118" s="155" t="e">
        <f>IF(O117&gt;=400,70,IF(O117&gt;=260,50,IF(O117&gt;=120,30,0)))</f>
        <v>#N/A</v>
      </c>
      <c r="P118" s="63" t="s">
        <v>109</v>
      </c>
      <c r="Q118" s="432"/>
    </row>
    <row r="119" spans="1:21" x14ac:dyDescent="0.25">
      <c r="A119" s="422"/>
      <c r="B119" s="232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432"/>
    </row>
    <row r="120" spans="1:21" x14ac:dyDescent="0.25">
      <c r="A120" s="422"/>
      <c r="B120" s="232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432"/>
    </row>
    <row r="121" spans="1:21" x14ac:dyDescent="0.25">
      <c r="A121" s="422"/>
      <c r="B121" s="232"/>
      <c r="C121" s="41"/>
      <c r="D121" s="71" t="s">
        <v>125</v>
      </c>
      <c r="E121" s="71"/>
      <c r="F121" s="71"/>
      <c r="G121" s="43"/>
      <c r="H121" s="43"/>
      <c r="I121" s="43"/>
      <c r="J121" s="43"/>
      <c r="K121" s="43"/>
      <c r="L121" s="43"/>
      <c r="M121" s="43"/>
      <c r="N121" s="43"/>
      <c r="O121" s="43"/>
      <c r="P121" s="44"/>
      <c r="Q121" s="432"/>
    </row>
    <row r="122" spans="1:21" x14ac:dyDescent="0.25">
      <c r="A122" s="422"/>
      <c r="B122" s="232"/>
      <c r="C122" s="45"/>
      <c r="D122" s="72"/>
      <c r="E122" s="72"/>
      <c r="F122" s="72"/>
      <c r="G122" s="34"/>
      <c r="H122" s="72"/>
      <c r="I122" s="72"/>
      <c r="J122" s="72"/>
      <c r="K122" s="46"/>
      <c r="L122" s="73"/>
      <c r="M122" s="72"/>
      <c r="N122" s="72"/>
      <c r="O122" s="72"/>
      <c r="P122" s="47"/>
      <c r="Q122" s="432"/>
    </row>
    <row r="123" spans="1:21" x14ac:dyDescent="0.25">
      <c r="A123" s="422"/>
      <c r="B123" s="232"/>
      <c r="C123" s="45"/>
      <c r="D123" s="34" t="s">
        <v>183</v>
      </c>
      <c r="E123" s="34"/>
      <c r="F123" s="34"/>
      <c r="G123" s="34"/>
      <c r="H123" s="34"/>
      <c r="I123" s="34"/>
      <c r="J123" s="34"/>
      <c r="K123" s="60"/>
      <c r="L123" s="452"/>
      <c r="M123" s="453"/>
      <c r="N123" s="72"/>
      <c r="O123" s="348" t="e">
        <f>VLOOKUP(L123,p_accompagnement,2,FALSE)</f>
        <v>#N/A</v>
      </c>
      <c r="P123" s="326"/>
      <c r="Q123" s="432"/>
    </row>
    <row r="124" spans="1:21" x14ac:dyDescent="0.25">
      <c r="A124" s="422"/>
      <c r="B124" s="232"/>
      <c r="C124" s="45"/>
      <c r="D124" s="72"/>
      <c r="E124" s="72"/>
      <c r="F124" s="72"/>
      <c r="G124" s="34"/>
      <c r="H124" s="72"/>
      <c r="I124" s="72"/>
      <c r="J124" s="72"/>
      <c r="K124" s="46"/>
      <c r="L124" s="73"/>
      <c r="M124" s="72"/>
      <c r="N124" s="72"/>
      <c r="O124" s="348"/>
      <c r="P124" s="326"/>
      <c r="Q124" s="432"/>
    </row>
    <row r="125" spans="1:21" s="4" customFormat="1" x14ac:dyDescent="0.25">
      <c r="A125" s="425"/>
      <c r="B125" s="235"/>
      <c r="C125" s="74"/>
      <c r="D125" s="72" t="s">
        <v>180</v>
      </c>
      <c r="E125" s="72"/>
      <c r="F125" s="72"/>
      <c r="G125" s="72"/>
      <c r="H125" s="191"/>
      <c r="I125" s="191"/>
      <c r="J125" s="191"/>
      <c r="K125" s="191" t="s">
        <v>26</v>
      </c>
      <c r="L125" s="452"/>
      <c r="M125" s="453"/>
      <c r="N125" s="72"/>
      <c r="O125" s="348" t="e">
        <f>VLOOKUP(L125,p_accompagnement,3,FALSE)</f>
        <v>#N/A</v>
      </c>
      <c r="P125" s="327"/>
      <c r="Q125" s="435"/>
      <c r="R125" s="335"/>
      <c r="S125" s="335"/>
      <c r="T125" s="335"/>
      <c r="U125" s="335"/>
    </row>
    <row r="126" spans="1:21" x14ac:dyDescent="0.25">
      <c r="A126" s="422"/>
      <c r="B126" s="232"/>
      <c r="C126" s="45"/>
      <c r="D126" s="72"/>
      <c r="E126" s="72"/>
      <c r="F126" s="72"/>
      <c r="G126" s="72"/>
      <c r="H126" s="191"/>
      <c r="I126" s="191"/>
      <c r="J126" s="191"/>
      <c r="K126" s="191" t="s">
        <v>157</v>
      </c>
      <c r="L126" s="452"/>
      <c r="M126" s="453"/>
      <c r="N126" s="72"/>
      <c r="O126" s="348" t="e">
        <f>VLOOKUP(L126,p_accompagnement,4,FALSE)</f>
        <v>#N/A</v>
      </c>
      <c r="P126" s="327"/>
      <c r="Q126" s="432"/>
    </row>
    <row r="127" spans="1:21" x14ac:dyDescent="0.25">
      <c r="A127" s="422"/>
      <c r="B127" s="232"/>
      <c r="C127" s="45"/>
      <c r="D127" s="34"/>
      <c r="E127" s="34"/>
      <c r="F127" s="34"/>
      <c r="G127" s="34"/>
      <c r="H127" s="60"/>
      <c r="I127" s="60"/>
      <c r="J127" s="60"/>
      <c r="K127" s="60"/>
      <c r="L127" s="34"/>
      <c r="M127" s="72"/>
      <c r="N127" s="72"/>
      <c r="O127" s="348"/>
      <c r="P127" s="326"/>
      <c r="Q127" s="432"/>
    </row>
    <row r="128" spans="1:21" x14ac:dyDescent="0.25">
      <c r="A128" s="422"/>
      <c r="B128" s="232"/>
      <c r="C128" s="45"/>
      <c r="D128" s="54" t="s">
        <v>32</v>
      </c>
      <c r="E128" s="54"/>
      <c r="F128" s="54"/>
      <c r="G128" s="54"/>
      <c r="H128" s="60"/>
      <c r="I128" s="60"/>
      <c r="J128" s="60"/>
      <c r="K128" s="60" t="s">
        <v>99</v>
      </c>
      <c r="L128" s="452"/>
      <c r="M128" s="453"/>
      <c r="N128" s="72"/>
      <c r="O128" s="348" t="e">
        <f>VLOOKUP(L128,p_accompagnement,5,FALSE)</f>
        <v>#N/A</v>
      </c>
      <c r="P128" s="326"/>
      <c r="Q128" s="432"/>
    </row>
    <row r="129" spans="1:21" x14ac:dyDescent="0.25">
      <c r="A129" s="422"/>
      <c r="B129" s="232"/>
      <c r="C129" s="45"/>
      <c r="D129" s="54"/>
      <c r="E129" s="54"/>
      <c r="F129" s="54"/>
      <c r="G129" s="54"/>
      <c r="H129" s="60"/>
      <c r="I129" s="60"/>
      <c r="J129" s="60"/>
      <c r="K129" s="60"/>
      <c r="L129" s="34"/>
      <c r="M129" s="72"/>
      <c r="N129" s="72"/>
      <c r="O129" s="348"/>
      <c r="P129" s="326"/>
      <c r="Q129" s="432"/>
    </row>
    <row r="130" spans="1:21" x14ac:dyDescent="0.25">
      <c r="A130" s="422"/>
      <c r="B130" s="232"/>
      <c r="C130" s="45"/>
      <c r="D130" s="54" t="s">
        <v>27</v>
      </c>
      <c r="E130" s="54"/>
      <c r="F130" s="54"/>
      <c r="G130" s="54"/>
      <c r="H130" s="60"/>
      <c r="I130" s="60"/>
      <c r="J130" s="60"/>
      <c r="K130" s="60" t="s">
        <v>29</v>
      </c>
      <c r="L130" s="452"/>
      <c r="M130" s="453"/>
      <c r="N130" s="72"/>
      <c r="O130" s="348" t="e">
        <f>VLOOKUP(L130,p_accompagnement,6,FALSE)</f>
        <v>#N/A</v>
      </c>
      <c r="P130" s="326"/>
      <c r="Q130" s="432"/>
    </row>
    <row r="131" spans="1:21" x14ac:dyDescent="0.25">
      <c r="A131" s="422"/>
      <c r="B131" s="232"/>
      <c r="C131" s="45"/>
      <c r="D131" s="54"/>
      <c r="E131" s="54"/>
      <c r="F131" s="54"/>
      <c r="G131" s="54"/>
      <c r="H131" s="60"/>
      <c r="I131" s="60"/>
      <c r="J131" s="60"/>
      <c r="K131" s="60" t="s">
        <v>30</v>
      </c>
      <c r="L131" s="452"/>
      <c r="M131" s="453"/>
      <c r="N131" s="72"/>
      <c r="O131" s="348" t="e">
        <f>VLOOKUP(L131,p_accompagnement,7,FALSE)</f>
        <v>#N/A</v>
      </c>
      <c r="P131" s="326"/>
      <c r="Q131" s="432"/>
    </row>
    <row r="132" spans="1:21" x14ac:dyDescent="0.25">
      <c r="A132" s="422"/>
      <c r="B132" s="232"/>
      <c r="C132" s="45"/>
      <c r="D132" s="34"/>
      <c r="E132" s="34"/>
      <c r="F132" s="34"/>
      <c r="G132" s="34"/>
      <c r="H132" s="60"/>
      <c r="I132" s="60"/>
      <c r="J132" s="60"/>
      <c r="K132" s="60"/>
      <c r="L132" s="34"/>
      <c r="M132" s="72"/>
      <c r="N132" s="72"/>
      <c r="O132" s="348"/>
      <c r="P132" s="326"/>
      <c r="Q132" s="432"/>
    </row>
    <row r="133" spans="1:21" x14ac:dyDescent="0.25">
      <c r="A133" s="422"/>
      <c r="B133" s="232"/>
      <c r="C133" s="45"/>
      <c r="D133" s="54" t="s">
        <v>28</v>
      </c>
      <c r="E133" s="54"/>
      <c r="F133" s="54"/>
      <c r="G133" s="54"/>
      <c r="H133" s="60"/>
      <c r="I133" s="60"/>
      <c r="J133" s="60"/>
      <c r="K133" s="60" t="s">
        <v>121</v>
      </c>
      <c r="L133" s="452"/>
      <c r="M133" s="453"/>
      <c r="N133" s="72"/>
      <c r="O133" s="348" t="e">
        <f>VLOOKUP(L133,p_accompagnement,8,FALSE)</f>
        <v>#N/A</v>
      </c>
      <c r="P133" s="326"/>
      <c r="Q133" s="432"/>
    </row>
    <row r="134" spans="1:21" x14ac:dyDescent="0.25">
      <c r="A134" s="422"/>
      <c r="B134" s="232"/>
      <c r="C134" s="45"/>
      <c r="D134" s="54"/>
      <c r="E134" s="54"/>
      <c r="F134" s="54"/>
      <c r="G134" s="54"/>
      <c r="H134" s="454" t="s">
        <v>31</v>
      </c>
      <c r="I134" s="454"/>
      <c r="J134" s="454"/>
      <c r="K134" s="454"/>
      <c r="L134" s="452"/>
      <c r="M134" s="453"/>
      <c r="N134" s="72"/>
      <c r="O134" s="348" t="e">
        <f>VLOOKUP(L134,p_accompagnement,9,FALSE)</f>
        <v>#N/A</v>
      </c>
      <c r="P134" s="326"/>
      <c r="Q134" s="432"/>
    </row>
    <row r="135" spans="1:21" x14ac:dyDescent="0.25">
      <c r="A135" s="422"/>
      <c r="B135" s="232"/>
      <c r="C135" s="45"/>
      <c r="D135" s="54"/>
      <c r="E135" s="54"/>
      <c r="F135" s="54"/>
      <c r="G135" s="54"/>
      <c r="H135" s="60"/>
      <c r="I135" s="60"/>
      <c r="J135" s="60"/>
      <c r="K135" s="60"/>
      <c r="L135" s="34"/>
      <c r="M135" s="72"/>
      <c r="N135" s="72"/>
      <c r="O135" s="348"/>
      <c r="P135" s="326"/>
      <c r="Q135" s="432"/>
    </row>
    <row r="136" spans="1:21" x14ac:dyDescent="0.25">
      <c r="A136" s="422"/>
      <c r="B136" s="232"/>
      <c r="C136" s="45"/>
      <c r="D136" s="34" t="s">
        <v>138</v>
      </c>
      <c r="E136" s="34"/>
      <c r="F136" s="34"/>
      <c r="G136" s="34"/>
      <c r="H136" s="34"/>
      <c r="I136" s="34"/>
      <c r="J136" s="34"/>
      <c r="K136" s="34"/>
      <c r="L136" s="452"/>
      <c r="M136" s="453"/>
      <c r="N136" s="72"/>
      <c r="O136" s="348" t="e">
        <f>VLOOKUP(L136,p_accompagnement,10,FALSE)</f>
        <v>#N/A</v>
      </c>
      <c r="P136" s="326"/>
      <c r="Q136" s="432"/>
    </row>
    <row r="137" spans="1:21" x14ac:dyDescent="0.25">
      <c r="A137" s="422"/>
      <c r="B137" s="232"/>
      <c r="C137" s="45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5"/>
      <c r="P137" s="326"/>
      <c r="Q137" s="432"/>
    </row>
    <row r="138" spans="1:21" x14ac:dyDescent="0.25">
      <c r="A138" s="422"/>
      <c r="B138" s="232"/>
      <c r="C138" s="45"/>
      <c r="D138" s="34" t="s">
        <v>170</v>
      </c>
      <c r="E138" s="34"/>
      <c r="F138" s="34"/>
      <c r="G138" s="34"/>
      <c r="H138" s="34"/>
      <c r="I138" s="34"/>
      <c r="J138" s="34"/>
      <c r="K138" s="34"/>
      <c r="L138" s="450"/>
      <c r="M138" s="451"/>
      <c r="N138" s="34"/>
      <c r="O138" s="347">
        <f>IF(L138="Oui",20,0)</f>
        <v>0</v>
      </c>
      <c r="P138" s="326"/>
      <c r="Q138" s="432"/>
    </row>
    <row r="139" spans="1:21" ht="16.5" thickBot="1" x14ac:dyDescent="0.3">
      <c r="A139" s="422"/>
      <c r="B139" s="232"/>
      <c r="C139" s="45"/>
      <c r="D139" s="34" t="s">
        <v>171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5" t="e">
        <f>SUM(O123:O138)</f>
        <v>#N/A</v>
      </c>
      <c r="P139" s="326"/>
      <c r="Q139" s="432"/>
    </row>
    <row r="140" spans="1:21" ht="16.5" thickBot="1" x14ac:dyDescent="0.3">
      <c r="A140" s="422"/>
      <c r="B140" s="232"/>
      <c r="C140" s="45"/>
      <c r="D140" s="34"/>
      <c r="E140" s="72"/>
      <c r="F140" s="72"/>
      <c r="G140" s="72"/>
      <c r="H140" s="72"/>
      <c r="I140" s="72"/>
      <c r="J140" s="72"/>
      <c r="K140" s="72"/>
      <c r="L140" s="72"/>
      <c r="M140" s="72"/>
      <c r="N140" s="62"/>
      <c r="O140" s="155" t="e">
        <f>IF(O139&gt;=400,70,IF(O139&gt;=230,50,IF(O139&gt;=100,30,0)))</f>
        <v>#N/A</v>
      </c>
      <c r="P140" s="63" t="s">
        <v>109</v>
      </c>
      <c r="Q140" s="432"/>
    </row>
    <row r="141" spans="1:21" x14ac:dyDescent="0.25">
      <c r="A141" s="422"/>
      <c r="B141" s="232"/>
      <c r="C141" s="64"/>
      <c r="D141" s="75"/>
      <c r="E141" s="75"/>
      <c r="F141" s="75"/>
      <c r="G141" s="75"/>
      <c r="H141" s="75"/>
      <c r="I141" s="75"/>
      <c r="J141" s="65"/>
      <c r="K141" s="65"/>
      <c r="L141" s="65"/>
      <c r="M141" s="65"/>
      <c r="N141" s="76"/>
      <c r="O141" s="65"/>
      <c r="P141" s="66"/>
      <c r="Q141" s="432"/>
    </row>
    <row r="142" spans="1:21" x14ac:dyDescent="0.25">
      <c r="A142" s="422"/>
      <c r="B142" s="232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432"/>
    </row>
    <row r="143" spans="1:21" s="249" customFormat="1" x14ac:dyDescent="0.25">
      <c r="A143" s="426"/>
      <c r="B143" s="247" t="s">
        <v>233</v>
      </c>
      <c r="C143" s="248"/>
      <c r="D143" s="248"/>
      <c r="E143" s="245"/>
      <c r="F143" s="242"/>
      <c r="G143" s="242"/>
      <c r="H143" s="242"/>
      <c r="I143" s="243"/>
      <c r="J143" s="248"/>
      <c r="K143" s="248"/>
      <c r="L143" s="244"/>
      <c r="M143" s="248"/>
      <c r="N143" s="245" t="e">
        <f>IF(O143&gt;241,"Bien",IF(O143&gt;179,"Satisfaisant",IF(O143&gt;79,"A améliorer",IF(O143&gt;31,"Insuffisant",""))))</f>
        <v>#N/A</v>
      </c>
      <c r="O143" s="246" t="e">
        <f>O89+O103+O118+O140</f>
        <v>#N/A</v>
      </c>
      <c r="P143" s="248" t="s">
        <v>109</v>
      </c>
      <c r="Q143" s="436"/>
      <c r="R143" s="336"/>
      <c r="S143" s="336"/>
      <c r="T143" s="336"/>
      <c r="U143" s="336"/>
    </row>
    <row r="144" spans="1:21" ht="15.75" customHeight="1" x14ac:dyDescent="0.25">
      <c r="A144" s="422"/>
      <c r="C144" s="215"/>
      <c r="D144" s="215"/>
      <c r="E144" s="250"/>
      <c r="F144" s="251"/>
      <c r="G144" s="251"/>
      <c r="H144" s="251"/>
      <c r="I144" s="218"/>
      <c r="J144" s="215"/>
      <c r="K144" s="215"/>
      <c r="L144" s="218"/>
      <c r="M144" s="215"/>
      <c r="N144" s="252"/>
      <c r="O144" s="253"/>
      <c r="P144" s="215"/>
      <c r="Q144" s="432"/>
    </row>
    <row r="145" spans="1:21" s="5" customFormat="1" ht="15" x14ac:dyDescent="0.25">
      <c r="A145" s="427"/>
      <c r="B145" s="497" t="s">
        <v>33</v>
      </c>
      <c r="C145" s="497"/>
      <c r="D145" s="497"/>
      <c r="E145" s="497"/>
      <c r="F145" s="497"/>
      <c r="G145" s="497"/>
      <c r="H145" s="497"/>
      <c r="I145" s="497"/>
      <c r="J145" s="497"/>
      <c r="K145" s="497"/>
      <c r="L145" s="497"/>
      <c r="M145" s="497"/>
      <c r="N145" s="497"/>
      <c r="O145" s="497"/>
      <c r="P145" s="497"/>
      <c r="Q145" s="437"/>
      <c r="R145" s="9"/>
      <c r="S145" s="9"/>
      <c r="T145" s="9"/>
      <c r="U145" s="9"/>
    </row>
    <row r="146" spans="1:21" s="5" customFormat="1" ht="15" x14ac:dyDescent="0.25">
      <c r="A146" s="427"/>
      <c r="B146" s="497"/>
      <c r="C146" s="497"/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497"/>
      <c r="Q146" s="437"/>
      <c r="R146" s="9"/>
      <c r="S146" s="9"/>
      <c r="T146" s="9"/>
      <c r="U146" s="9"/>
    </row>
    <row r="147" spans="1:21" s="5" customFormat="1" ht="15" x14ac:dyDescent="0.25">
      <c r="A147" s="427"/>
      <c r="B147" s="257"/>
      <c r="C147" s="77"/>
      <c r="D147" s="166" t="s">
        <v>34</v>
      </c>
      <c r="E147" s="166"/>
      <c r="F147" s="78"/>
      <c r="G147" s="167"/>
      <c r="H147" s="78"/>
      <c r="I147" s="78"/>
      <c r="J147" s="78"/>
      <c r="K147" s="78"/>
      <c r="L147" s="78"/>
      <c r="M147" s="78"/>
      <c r="N147" s="78"/>
      <c r="O147" s="78"/>
      <c r="P147" s="79"/>
      <c r="Q147" s="437"/>
      <c r="R147" s="9"/>
      <c r="S147" s="9"/>
      <c r="T147" s="9"/>
      <c r="U147" s="9"/>
    </row>
    <row r="148" spans="1:21" s="5" customFormat="1" x14ac:dyDescent="0.25">
      <c r="A148" s="427"/>
      <c r="B148" s="257"/>
      <c r="C148" s="80"/>
      <c r="D148" s="81"/>
      <c r="E148" s="81"/>
      <c r="F148" s="82"/>
      <c r="G148" s="83"/>
      <c r="H148" s="82"/>
      <c r="I148" s="82"/>
      <c r="J148" s="82"/>
      <c r="K148" s="82"/>
      <c r="L148" s="82"/>
      <c r="M148" s="82"/>
      <c r="N148" s="54"/>
      <c r="O148" s="54"/>
      <c r="P148" s="84"/>
      <c r="Q148" s="437"/>
      <c r="R148" s="9"/>
      <c r="S148" s="9"/>
      <c r="T148" s="9"/>
      <c r="U148" s="9"/>
    </row>
    <row r="149" spans="1:21" s="5" customFormat="1" x14ac:dyDescent="0.25">
      <c r="A149" s="427"/>
      <c r="B149" s="257"/>
      <c r="C149" s="80"/>
      <c r="D149" s="480" t="s">
        <v>139</v>
      </c>
      <c r="E149" s="480"/>
      <c r="F149" s="480"/>
      <c r="G149" s="480"/>
      <c r="H149" s="480"/>
      <c r="I149" s="480"/>
      <c r="J149" s="480"/>
      <c r="K149" s="480"/>
      <c r="L149" s="480"/>
      <c r="M149" s="480"/>
      <c r="N149" s="349">
        <v>5</v>
      </c>
      <c r="O149" s="350">
        <f>VLOOKUP(N149,p_projetpéda,2,FALSE)</f>
        <v>0</v>
      </c>
      <c r="P149" s="351"/>
      <c r="Q149" s="438"/>
      <c r="R149" s="9"/>
      <c r="S149" s="9"/>
      <c r="T149" s="9"/>
      <c r="U149" s="9"/>
    </row>
    <row r="150" spans="1:21" s="5" customFormat="1" x14ac:dyDescent="0.25">
      <c r="A150" s="427"/>
      <c r="B150" s="257"/>
      <c r="C150" s="80"/>
      <c r="D150" s="54" t="s">
        <v>140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328"/>
      <c r="O150" s="328"/>
      <c r="P150" s="329"/>
      <c r="Q150" s="437"/>
      <c r="R150" s="9"/>
      <c r="S150" s="9"/>
      <c r="T150" s="9"/>
      <c r="U150" s="9"/>
    </row>
    <row r="151" spans="1:21" s="5" customFormat="1" x14ac:dyDescent="0.25">
      <c r="A151" s="427"/>
      <c r="B151" s="257"/>
      <c r="C151" s="80"/>
      <c r="D151" s="54" t="s">
        <v>35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328"/>
      <c r="O151" s="328"/>
      <c r="P151" s="329"/>
      <c r="Q151" s="437"/>
      <c r="R151" s="9"/>
      <c r="S151" s="9"/>
      <c r="T151" s="9"/>
      <c r="U151" s="9"/>
    </row>
    <row r="152" spans="1:21" s="5" customFormat="1" x14ac:dyDescent="0.25">
      <c r="A152" s="427"/>
      <c r="B152" s="257"/>
      <c r="C152" s="80"/>
      <c r="D152" s="54" t="s">
        <v>75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328"/>
      <c r="O152" s="328"/>
      <c r="P152" s="329"/>
      <c r="Q152" s="437"/>
      <c r="R152" s="9"/>
      <c r="S152" s="9"/>
      <c r="T152" s="9"/>
      <c r="U152" s="9"/>
    </row>
    <row r="153" spans="1:21" s="5" customFormat="1" x14ac:dyDescent="0.25">
      <c r="A153" s="427"/>
      <c r="B153" s="257"/>
      <c r="C153" s="80"/>
      <c r="D153" s="54" t="s">
        <v>37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328"/>
      <c r="O153" s="328"/>
      <c r="P153" s="329"/>
      <c r="Q153" s="437"/>
      <c r="R153" s="9"/>
      <c r="S153" s="9"/>
      <c r="T153" s="9"/>
      <c r="U153" s="9"/>
    </row>
    <row r="154" spans="1:21" s="5" customFormat="1" x14ac:dyDescent="0.25">
      <c r="A154" s="427"/>
      <c r="B154" s="257"/>
      <c r="C154" s="80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328"/>
      <c r="O154" s="328"/>
      <c r="P154" s="329"/>
      <c r="Q154" s="437"/>
      <c r="R154" s="9"/>
      <c r="S154" s="9"/>
      <c r="T154" s="9"/>
      <c r="U154" s="9"/>
    </row>
    <row r="155" spans="1:21" s="5" customFormat="1" x14ac:dyDescent="0.25">
      <c r="A155" s="427"/>
      <c r="B155" s="257"/>
      <c r="C155" s="80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328"/>
      <c r="O155" s="328"/>
      <c r="P155" s="329"/>
      <c r="Q155" s="437"/>
      <c r="R155" s="9"/>
      <c r="S155" s="9"/>
      <c r="T155" s="9"/>
      <c r="U155" s="9"/>
    </row>
    <row r="156" spans="1:21" s="5" customFormat="1" x14ac:dyDescent="0.25">
      <c r="A156" s="427"/>
      <c r="B156" s="257"/>
      <c r="C156" s="80"/>
      <c r="D156" s="54" t="s">
        <v>131</v>
      </c>
      <c r="E156" s="54"/>
      <c r="F156" s="54"/>
      <c r="G156" s="54"/>
      <c r="H156" s="54"/>
      <c r="I156" s="54"/>
      <c r="J156" s="54"/>
      <c r="K156" s="54"/>
      <c r="L156" s="452"/>
      <c r="M156" s="453"/>
      <c r="N156" s="328"/>
      <c r="O156" s="350" t="e">
        <f>VLOOKUP(L156,p_péda,2,FALSE)</f>
        <v>#N/A</v>
      </c>
      <c r="P156" s="329"/>
      <c r="Q156" s="437"/>
      <c r="R156" s="9"/>
      <c r="S156" s="9"/>
      <c r="T156" s="9"/>
      <c r="U156" s="9"/>
    </row>
    <row r="157" spans="1:21" s="5" customFormat="1" thickBot="1" x14ac:dyDescent="0.3">
      <c r="A157" s="427"/>
      <c r="B157" s="257"/>
      <c r="C157" s="80"/>
      <c r="D157" s="83"/>
      <c r="E157" s="82"/>
      <c r="F157" s="82"/>
      <c r="G157" s="82"/>
      <c r="H157" s="82"/>
      <c r="I157" s="82"/>
      <c r="J157" s="82"/>
      <c r="K157" s="183"/>
      <c r="L157" s="82"/>
      <c r="M157" s="82"/>
      <c r="N157" s="330"/>
      <c r="O157" s="352" t="e">
        <f>SUM(O149:O156)</f>
        <v>#N/A</v>
      </c>
      <c r="P157" s="329"/>
      <c r="Q157" s="437"/>
      <c r="R157" s="9"/>
      <c r="S157" s="9"/>
      <c r="T157" s="9"/>
      <c r="U157" s="9"/>
    </row>
    <row r="158" spans="1:21" s="5" customFormat="1" ht="16.5" thickBot="1" x14ac:dyDescent="0.3">
      <c r="A158" s="427"/>
      <c r="B158" s="257"/>
      <c r="C158" s="80"/>
      <c r="D158" s="82"/>
      <c r="E158" s="83"/>
      <c r="F158" s="83"/>
      <c r="G158" s="83"/>
      <c r="H158" s="83"/>
      <c r="I158" s="83"/>
      <c r="J158" s="83"/>
      <c r="K158" s="83"/>
      <c r="L158" s="83"/>
      <c r="M158" s="82"/>
      <c r="N158" s="90"/>
      <c r="O158" s="155" t="e">
        <f>IF(O157&gt;=120,100,IF(O157&gt;=70,70,IF(O157&gt;=40,40,0)))</f>
        <v>#N/A</v>
      </c>
      <c r="P158" s="63" t="s">
        <v>109</v>
      </c>
      <c r="Q158" s="437"/>
      <c r="R158" s="9"/>
      <c r="S158" s="9"/>
      <c r="T158" s="9"/>
      <c r="U158" s="9"/>
    </row>
    <row r="159" spans="1:21" s="5" customFormat="1" ht="15" x14ac:dyDescent="0.25">
      <c r="A159" s="427"/>
      <c r="B159" s="257"/>
      <c r="C159" s="113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  <c r="Q159" s="437"/>
      <c r="R159" s="9"/>
      <c r="S159" s="9"/>
      <c r="T159" s="9"/>
      <c r="U159" s="9"/>
    </row>
    <row r="160" spans="1:21" s="5" customFormat="1" ht="15" x14ac:dyDescent="0.25">
      <c r="A160" s="427"/>
      <c r="B160" s="257"/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437"/>
      <c r="R160" s="9"/>
      <c r="S160" s="9"/>
      <c r="T160" s="9"/>
      <c r="U160" s="9"/>
    </row>
    <row r="161" spans="1:21" s="5" customFormat="1" thickBot="1" x14ac:dyDescent="0.3">
      <c r="A161" s="427"/>
      <c r="B161" s="257"/>
      <c r="C161" s="77"/>
      <c r="D161" s="262" t="s">
        <v>92</v>
      </c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9"/>
      <c r="Q161" s="437"/>
      <c r="R161" s="9"/>
      <c r="S161" s="9"/>
      <c r="T161" s="9"/>
      <c r="U161" s="9"/>
    </row>
    <row r="162" spans="1:21" s="5" customFormat="1" thickTop="1" x14ac:dyDescent="0.25">
      <c r="A162" s="427"/>
      <c r="B162" s="257"/>
      <c r="C162" s="80"/>
      <c r="D162" s="81"/>
      <c r="E162" s="81"/>
      <c r="F162" s="82"/>
      <c r="G162" s="82"/>
      <c r="H162" s="93"/>
      <c r="I162" s="85"/>
      <c r="J162" s="85"/>
      <c r="K162" s="85"/>
      <c r="L162" s="94"/>
      <c r="M162" s="94"/>
      <c r="N162" s="95" t="s">
        <v>41</v>
      </c>
      <c r="O162" s="107"/>
      <c r="P162" s="329">
        <f>IF(O162="Oui",60,0)</f>
        <v>0</v>
      </c>
      <c r="Q162" s="437"/>
      <c r="R162" s="9"/>
      <c r="S162" s="9"/>
      <c r="T162" s="9"/>
      <c r="U162" s="9"/>
    </row>
    <row r="163" spans="1:21" s="5" customFormat="1" ht="15" x14ac:dyDescent="0.25">
      <c r="A163" s="427"/>
      <c r="B163" s="257"/>
      <c r="C163" s="80"/>
      <c r="D163" s="82"/>
      <c r="E163" s="83"/>
      <c r="F163" s="82"/>
      <c r="G163" s="82"/>
      <c r="H163" s="96" t="s">
        <v>133</v>
      </c>
      <c r="I163" s="106"/>
      <c r="J163" s="82"/>
      <c r="K163" s="83"/>
      <c r="L163" s="83"/>
      <c r="M163" s="83"/>
      <c r="N163" s="89" t="s">
        <v>38</v>
      </c>
      <c r="O163" s="226">
        <f>L54</f>
        <v>0</v>
      </c>
      <c r="P163" s="84"/>
      <c r="Q163" s="437"/>
      <c r="R163" s="9"/>
      <c r="S163" s="9"/>
      <c r="T163" s="9"/>
      <c r="U163" s="9"/>
    </row>
    <row r="164" spans="1:21" s="5" customFormat="1" thickBot="1" x14ac:dyDescent="0.3">
      <c r="A164" s="427"/>
      <c r="B164" s="257"/>
      <c r="C164" s="80"/>
      <c r="D164" s="82"/>
      <c r="E164" s="83"/>
      <c r="F164" s="82"/>
      <c r="G164" s="82"/>
      <c r="H164" s="96" t="s">
        <v>134</v>
      </c>
      <c r="I164" s="106"/>
      <c r="J164" s="82"/>
      <c r="K164" s="82"/>
      <c r="L164" s="97"/>
      <c r="M164" s="83"/>
      <c r="N164" s="89" t="s">
        <v>39</v>
      </c>
      <c r="O164" s="205"/>
      <c r="P164" s="84"/>
      <c r="Q164" s="437"/>
      <c r="R164" s="9"/>
      <c r="S164" s="9"/>
      <c r="T164" s="9"/>
      <c r="U164" s="9"/>
    </row>
    <row r="165" spans="1:21" s="5" customFormat="1" thickBot="1" x14ac:dyDescent="0.3">
      <c r="A165" s="427"/>
      <c r="B165" s="257"/>
      <c r="C165" s="80"/>
      <c r="D165" s="82"/>
      <c r="E165" s="82"/>
      <c r="F165" s="82"/>
      <c r="G165" s="98" t="s">
        <v>89</v>
      </c>
      <c r="H165" s="99"/>
      <c r="I165" s="341" t="e">
        <f>(I163-I164)/I163</f>
        <v>#DIV/0!</v>
      </c>
      <c r="J165" s="88"/>
      <c r="K165" s="88"/>
      <c r="L165" s="88"/>
      <c r="M165" s="100" t="s">
        <v>90</v>
      </c>
      <c r="N165" s="101"/>
      <c r="O165" s="342" t="e">
        <f>O163/I163</f>
        <v>#DIV/0!</v>
      </c>
      <c r="P165" s="84"/>
      <c r="Q165" s="437"/>
      <c r="R165" s="9"/>
      <c r="S165" s="9"/>
      <c r="T165" s="9"/>
      <c r="U165" s="9"/>
    </row>
    <row r="166" spans="1:21" s="5" customFormat="1" ht="16.5" thickTop="1" x14ac:dyDescent="0.25">
      <c r="A166" s="427"/>
      <c r="B166" s="257"/>
      <c r="C166" s="80"/>
      <c r="D166" s="82"/>
      <c r="E166" s="82"/>
      <c r="F166" s="82"/>
      <c r="G166" s="82"/>
      <c r="H166" s="82"/>
      <c r="I166" s="343" t="e">
        <f>IF(I165&gt;0.66,"Bien",IF(I165&gt;=0.5,"Satisfaisant",IF(I165&gt;0.33,"A améliorer","Insuffisant")))</f>
        <v>#DIV/0!</v>
      </c>
      <c r="J166" s="82"/>
      <c r="K166" s="82"/>
      <c r="L166" s="82"/>
      <c r="M166" s="82"/>
      <c r="N166" s="82"/>
      <c r="O166" s="344" t="e">
        <f>IF(O165&lt;=5,"Bien",IF(O165&lt;=9,"Satisfaisant",IF(O165&lt;=13,"A améliorer","Insuffisant")))</f>
        <v>#DIV/0!</v>
      </c>
      <c r="P166" s="84"/>
      <c r="Q166" s="437"/>
      <c r="R166" s="9"/>
      <c r="S166" s="9"/>
      <c r="T166" s="9"/>
      <c r="U166" s="9"/>
    </row>
    <row r="167" spans="1:21" s="5" customFormat="1" x14ac:dyDescent="0.25">
      <c r="A167" s="427"/>
      <c r="B167" s="257"/>
      <c r="C167" s="80"/>
      <c r="D167" s="561" t="s">
        <v>112</v>
      </c>
      <c r="E167" s="561"/>
      <c r="F167" s="561"/>
      <c r="G167" s="561"/>
      <c r="H167" s="561"/>
      <c r="I167" s="558"/>
      <c r="J167" s="558"/>
      <c r="K167" s="558"/>
      <c r="L167" s="558"/>
      <c r="M167" s="558"/>
      <c r="N167" s="82"/>
      <c r="O167" s="82"/>
      <c r="P167" s="84"/>
      <c r="Q167" s="437"/>
      <c r="R167" s="9"/>
      <c r="S167" s="9"/>
      <c r="T167" s="9"/>
      <c r="U167" s="9"/>
    </row>
    <row r="168" spans="1:21" s="5" customFormat="1" x14ac:dyDescent="0.25">
      <c r="A168" s="427"/>
      <c r="B168" s="257"/>
      <c r="C168" s="80"/>
      <c r="D168" s="193" t="s">
        <v>111</v>
      </c>
      <c r="E168" s="194"/>
      <c r="F168" s="194"/>
      <c r="G168" s="194"/>
      <c r="H168" s="194"/>
      <c r="I168" s="195" t="s">
        <v>246</v>
      </c>
      <c r="J168" s="452"/>
      <c r="K168" s="498"/>
      <c r="L168" s="498"/>
      <c r="M168" s="498"/>
      <c r="N168" s="453"/>
      <c r="O168" s="352" t="e">
        <f>VLOOKUP(J168,p_diplômes,2,FALSE)</f>
        <v>#N/A</v>
      </c>
      <c r="P168" s="329"/>
      <c r="Q168" s="437"/>
      <c r="R168" s="9"/>
      <c r="S168" s="9"/>
      <c r="T168" s="9"/>
      <c r="U168" s="9"/>
    </row>
    <row r="169" spans="1:21" s="5" customFormat="1" x14ac:dyDescent="0.25">
      <c r="A169" s="427"/>
      <c r="B169" s="257"/>
      <c r="C169" s="80"/>
      <c r="D169" s="122"/>
      <c r="E169" s="135"/>
      <c r="F169" s="135"/>
      <c r="G169" s="135"/>
      <c r="H169" s="196"/>
      <c r="I169" s="195" t="s">
        <v>247</v>
      </c>
      <c r="J169" s="452"/>
      <c r="K169" s="498"/>
      <c r="L169" s="498"/>
      <c r="M169" s="498"/>
      <c r="N169" s="453"/>
      <c r="O169" s="352" t="e">
        <f>VLOOKUP(J169,p_diplômes,2,FALSE)</f>
        <v>#N/A</v>
      </c>
      <c r="P169" s="329"/>
      <c r="Q169" s="437"/>
      <c r="R169" s="9"/>
      <c r="S169" s="9"/>
      <c r="T169" s="9"/>
      <c r="U169" s="9"/>
    </row>
    <row r="170" spans="1:21" s="5" customFormat="1" x14ac:dyDescent="0.25">
      <c r="A170" s="427"/>
      <c r="B170" s="257"/>
      <c r="C170" s="80"/>
      <c r="D170" s="122"/>
      <c r="E170" s="135"/>
      <c r="F170" s="135"/>
      <c r="G170" s="135"/>
      <c r="H170" s="196"/>
      <c r="I170" s="195" t="s">
        <v>248</v>
      </c>
      <c r="J170" s="452"/>
      <c r="K170" s="498"/>
      <c r="L170" s="498"/>
      <c r="M170" s="498"/>
      <c r="N170" s="453"/>
      <c r="O170" s="352" t="e">
        <f>VLOOKUP(J170,p_diplômes,2,FALSE)</f>
        <v>#N/A</v>
      </c>
      <c r="P170" s="329"/>
      <c r="Q170" s="437"/>
      <c r="R170" s="9"/>
      <c r="S170" s="9"/>
      <c r="T170" s="9"/>
      <c r="U170" s="9"/>
    </row>
    <row r="171" spans="1:21" s="5" customFormat="1" x14ac:dyDescent="0.25">
      <c r="A171" s="427"/>
      <c r="B171" s="257"/>
      <c r="C171" s="80"/>
      <c r="D171" s="122"/>
      <c r="E171" s="135"/>
      <c r="F171" s="135"/>
      <c r="G171" s="135"/>
      <c r="H171" s="196"/>
      <c r="I171" s="195" t="s">
        <v>249</v>
      </c>
      <c r="J171" s="452"/>
      <c r="K171" s="498"/>
      <c r="L171" s="498"/>
      <c r="M171" s="498"/>
      <c r="N171" s="453"/>
      <c r="O171" s="352" t="e">
        <f>VLOOKUP(J171,p_diplômes,2,FALSE)</f>
        <v>#N/A</v>
      </c>
      <c r="P171" s="329"/>
      <c r="Q171" s="437"/>
      <c r="R171" s="9"/>
      <c r="S171" s="9"/>
      <c r="T171" s="9"/>
      <c r="U171" s="9"/>
    </row>
    <row r="172" spans="1:21" s="5" customFormat="1" x14ac:dyDescent="0.25">
      <c r="A172" s="427"/>
      <c r="B172" s="257"/>
      <c r="C172" s="80"/>
      <c r="D172" s="122"/>
      <c r="E172" s="135"/>
      <c r="F172" s="135"/>
      <c r="G172" s="135"/>
      <c r="H172" s="196"/>
      <c r="I172" s="195" t="s">
        <v>250</v>
      </c>
      <c r="J172" s="452"/>
      <c r="K172" s="498"/>
      <c r="L172" s="498"/>
      <c r="M172" s="498"/>
      <c r="N172" s="453"/>
      <c r="O172" s="352" t="e">
        <f>VLOOKUP(J172,p_diplômes,2,FALSE)</f>
        <v>#N/A</v>
      </c>
      <c r="P172" s="329"/>
      <c r="Q172" s="437"/>
      <c r="R172" s="9"/>
      <c r="S172" s="9"/>
      <c r="T172" s="9"/>
      <c r="U172" s="9"/>
    </row>
    <row r="173" spans="1:21" s="5" customFormat="1" ht="15" x14ac:dyDescent="0.25">
      <c r="A173" s="427"/>
      <c r="B173" s="257"/>
      <c r="C173" s="80"/>
      <c r="D173" s="168"/>
      <c r="E173" s="102"/>
      <c r="F173" s="102"/>
      <c r="G173" s="102"/>
      <c r="H173" s="103"/>
      <c r="I173" s="192"/>
      <c r="J173" s="192"/>
      <c r="K173" s="192"/>
      <c r="L173" s="192"/>
      <c r="M173" s="192"/>
      <c r="N173" s="192"/>
      <c r="O173" s="352"/>
      <c r="P173" s="329"/>
      <c r="Q173" s="437"/>
      <c r="R173" s="9"/>
      <c r="S173" s="9"/>
      <c r="T173" s="9"/>
      <c r="U173" s="9"/>
    </row>
    <row r="174" spans="1:21" s="5" customFormat="1" ht="15" x14ac:dyDescent="0.25">
      <c r="A174" s="427"/>
      <c r="B174" s="257"/>
      <c r="C174" s="80"/>
      <c r="D174" s="97"/>
      <c r="E174" s="102"/>
      <c r="F174" s="102"/>
      <c r="G174" s="102"/>
      <c r="H174" s="103"/>
      <c r="I174" s="192"/>
      <c r="J174" s="192"/>
      <c r="K174" s="192"/>
      <c r="L174" s="192"/>
      <c r="M174" s="192"/>
      <c r="N174" s="192"/>
      <c r="O174" s="352"/>
      <c r="P174" s="329"/>
      <c r="Q174" s="437"/>
      <c r="R174" s="9"/>
      <c r="S174" s="9"/>
      <c r="T174" s="9"/>
      <c r="U174" s="9"/>
    </row>
    <row r="175" spans="1:21" s="5" customFormat="1" x14ac:dyDescent="0.25">
      <c r="A175" s="427"/>
      <c r="B175" s="257"/>
      <c r="C175" s="80"/>
      <c r="D175" s="34"/>
      <c r="E175" s="34"/>
      <c r="F175" s="34"/>
      <c r="G175" s="34"/>
      <c r="H175" s="34"/>
      <c r="I175" s="34"/>
      <c r="J175" s="34"/>
      <c r="K175" s="82"/>
      <c r="L175" s="82"/>
      <c r="M175" s="82"/>
      <c r="N175" s="82"/>
      <c r="O175" s="352"/>
      <c r="P175" s="329"/>
      <c r="Q175" s="437"/>
      <c r="R175" s="9"/>
      <c r="S175" s="9"/>
      <c r="T175" s="9"/>
      <c r="U175" s="9"/>
    </row>
    <row r="176" spans="1:21" s="5" customFormat="1" x14ac:dyDescent="0.25">
      <c r="A176" s="427"/>
      <c r="B176" s="257"/>
      <c r="C176" s="80"/>
      <c r="D176" s="151"/>
      <c r="E176" s="54"/>
      <c r="F176" s="54"/>
      <c r="G176" s="34"/>
      <c r="H176" s="34"/>
      <c r="I176" s="34"/>
      <c r="J176" s="34"/>
      <c r="K176" s="192"/>
      <c r="L176" s="192"/>
      <c r="M176" s="192"/>
      <c r="N176" s="192"/>
      <c r="O176" s="353"/>
      <c r="P176" s="329"/>
      <c r="Q176" s="437"/>
      <c r="R176" s="9"/>
      <c r="S176" s="9"/>
      <c r="T176" s="9"/>
      <c r="U176" s="9"/>
    </row>
    <row r="177" spans="1:21" s="5" customFormat="1" x14ac:dyDescent="0.25">
      <c r="A177" s="427"/>
      <c r="B177" s="257"/>
      <c r="C177" s="80"/>
      <c r="D177" s="454" t="s">
        <v>208</v>
      </c>
      <c r="E177" s="454"/>
      <c r="F177" s="454"/>
      <c r="G177" s="454"/>
      <c r="H177" s="454"/>
      <c r="I177" s="454"/>
      <c r="J177" s="452"/>
      <c r="K177" s="498"/>
      <c r="L177" s="498"/>
      <c r="M177" s="498"/>
      <c r="N177" s="453"/>
      <c r="O177" s="353" t="e">
        <f>VLOOKUP(J177,p_freqreunions,2,FALSE)</f>
        <v>#N/A</v>
      </c>
      <c r="P177" s="329"/>
      <c r="Q177" s="437"/>
      <c r="R177" s="9"/>
      <c r="S177" s="9"/>
      <c r="T177" s="9"/>
      <c r="U177" s="9"/>
    </row>
    <row r="178" spans="1:21" s="5" customFormat="1" x14ac:dyDescent="0.25">
      <c r="A178" s="427"/>
      <c r="B178" s="257"/>
      <c r="C178" s="80"/>
      <c r="D178" s="54"/>
      <c r="E178" s="54"/>
      <c r="F178" s="54"/>
      <c r="G178" s="54"/>
      <c r="H178" s="54"/>
      <c r="I178" s="54"/>
      <c r="J178" s="206"/>
      <c r="K178" s="82"/>
      <c r="L178" s="82"/>
      <c r="M178" s="82"/>
      <c r="N178" s="82"/>
      <c r="O178" s="352"/>
      <c r="P178" s="329"/>
      <c r="Q178" s="437"/>
      <c r="R178" s="9"/>
      <c r="S178" s="9"/>
      <c r="T178" s="9"/>
      <c r="U178" s="9"/>
    </row>
    <row r="179" spans="1:21" s="5" customFormat="1" x14ac:dyDescent="0.25">
      <c r="A179" s="427"/>
      <c r="B179" s="257"/>
      <c r="C179" s="80"/>
      <c r="D179" s="54"/>
      <c r="E179" s="54"/>
      <c r="F179" s="54"/>
      <c r="G179" s="54"/>
      <c r="H179" s="54"/>
      <c r="I179" s="54"/>
      <c r="J179" s="54"/>
      <c r="K179" s="83"/>
      <c r="L179" s="54"/>
      <c r="M179" s="54"/>
      <c r="N179" s="54"/>
      <c r="O179" s="350"/>
      <c r="P179" s="329"/>
      <c r="Q179" s="437"/>
      <c r="R179" s="9"/>
      <c r="S179" s="9"/>
      <c r="T179" s="9"/>
      <c r="U179" s="9"/>
    </row>
    <row r="180" spans="1:21" s="5" customFormat="1" x14ac:dyDescent="0.25">
      <c r="A180" s="427"/>
      <c r="B180" s="257"/>
      <c r="C180" s="80"/>
      <c r="D180" s="54" t="s">
        <v>158</v>
      </c>
      <c r="E180" s="54"/>
      <c r="F180" s="54"/>
      <c r="G180" s="54"/>
      <c r="H180" s="54"/>
      <c r="I180" s="54"/>
      <c r="J180" s="54"/>
      <c r="K180" s="517"/>
      <c r="L180" s="518"/>
      <c r="M180" s="518"/>
      <c r="N180" s="519"/>
      <c r="O180" s="350" t="e">
        <f>VLOOKUP(K180,p_educep,2,FALSE)</f>
        <v>#N/A</v>
      </c>
      <c r="P180" s="329"/>
      <c r="Q180" s="437"/>
      <c r="R180" s="9"/>
      <c r="S180" s="9"/>
      <c r="T180" s="9"/>
      <c r="U180" s="9"/>
    </row>
    <row r="181" spans="1:21" s="5" customFormat="1" x14ac:dyDescent="0.25">
      <c r="A181" s="427"/>
      <c r="B181" s="257"/>
      <c r="C181" s="80"/>
      <c r="D181" s="54"/>
      <c r="E181" s="54"/>
      <c r="F181" s="54"/>
      <c r="G181" s="54"/>
      <c r="H181" s="54"/>
      <c r="I181" s="54"/>
      <c r="J181" s="54"/>
      <c r="K181" s="83"/>
      <c r="L181" s="54"/>
      <c r="M181" s="54"/>
      <c r="N181" s="54"/>
      <c r="O181" s="350"/>
      <c r="P181" s="329"/>
      <c r="Q181" s="437"/>
      <c r="R181" s="9"/>
      <c r="S181" s="9"/>
      <c r="T181" s="9"/>
      <c r="U181" s="9"/>
    </row>
    <row r="182" spans="1:21" s="5" customFormat="1" x14ac:dyDescent="0.25">
      <c r="A182" s="427"/>
      <c r="B182" s="257"/>
      <c r="C182" s="80"/>
      <c r="D182" s="54" t="s">
        <v>181</v>
      </c>
      <c r="E182" s="54"/>
      <c r="F182" s="54"/>
      <c r="G182" s="54"/>
      <c r="H182" s="54"/>
      <c r="I182" s="54"/>
      <c r="J182" s="54"/>
      <c r="K182" s="83"/>
      <c r="L182" s="450"/>
      <c r="M182" s="451"/>
      <c r="N182" s="54"/>
      <c r="O182" s="347">
        <f>IF(L182="Oui",10,0)</f>
        <v>0</v>
      </c>
      <c r="P182" s="329"/>
      <c r="Q182" s="437"/>
      <c r="R182" s="9"/>
      <c r="S182" s="9"/>
      <c r="T182" s="9"/>
      <c r="U182" s="9"/>
    </row>
    <row r="183" spans="1:21" s="5" customFormat="1" thickBot="1" x14ac:dyDescent="0.3">
      <c r="A183" s="427"/>
      <c r="B183" s="257"/>
      <c r="C183" s="80"/>
      <c r="D183" s="169"/>
      <c r="E183" s="105"/>
      <c r="F183" s="83"/>
      <c r="G183" s="82"/>
      <c r="H183" s="83"/>
      <c r="I183" s="83"/>
      <c r="J183" s="89"/>
      <c r="K183" s="82"/>
      <c r="L183" s="82"/>
      <c r="M183" s="82"/>
      <c r="N183" s="82"/>
      <c r="O183" s="354" t="e">
        <f>SUM(O169:O182,H164,O165,P162)</f>
        <v>#N/A</v>
      </c>
      <c r="P183" s="329"/>
      <c r="Q183" s="437"/>
      <c r="R183" s="9"/>
      <c r="S183" s="9"/>
      <c r="T183" s="9"/>
      <c r="U183" s="9"/>
    </row>
    <row r="184" spans="1:21" s="5" customFormat="1" ht="16.5" thickBot="1" x14ac:dyDescent="0.3">
      <c r="A184" s="427"/>
      <c r="B184" s="257"/>
      <c r="C184" s="80"/>
      <c r="D184" s="174"/>
      <c r="E184" s="102"/>
      <c r="F184" s="102"/>
      <c r="G184" s="102"/>
      <c r="H184" s="102"/>
      <c r="I184" s="102"/>
      <c r="J184" s="102"/>
      <c r="K184" s="102"/>
      <c r="L184" s="102"/>
      <c r="M184" s="102"/>
      <c r="N184" s="90"/>
      <c r="O184" s="155" t="e">
        <f>IF(O183&gt;=350,100,IF(O183&gt;=270,70,IF(O183&gt;=180,40,0)))</f>
        <v>#N/A</v>
      </c>
      <c r="P184" s="63" t="s">
        <v>109</v>
      </c>
      <c r="Q184" s="437"/>
      <c r="R184" s="9"/>
      <c r="S184" s="9"/>
      <c r="T184" s="9"/>
      <c r="U184" s="9"/>
    </row>
    <row r="185" spans="1:21" s="5" customFormat="1" ht="15" x14ac:dyDescent="0.25">
      <c r="A185" s="427"/>
      <c r="B185" s="257"/>
      <c r="C185" s="113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2"/>
      <c r="Q185" s="437"/>
      <c r="R185" s="9"/>
      <c r="S185" s="9"/>
      <c r="T185" s="9"/>
      <c r="U185" s="9"/>
    </row>
    <row r="186" spans="1:21" s="5" customFormat="1" ht="15" x14ac:dyDescent="0.25">
      <c r="A186" s="427"/>
      <c r="B186" s="257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437"/>
      <c r="R186" s="9"/>
      <c r="S186" s="9"/>
      <c r="T186" s="9"/>
      <c r="U186" s="9"/>
    </row>
    <row r="187" spans="1:21" s="5" customFormat="1" ht="15" x14ac:dyDescent="0.25">
      <c r="A187" s="427"/>
      <c r="B187" s="257"/>
      <c r="C187" s="77"/>
      <c r="D187" s="108" t="s">
        <v>113</v>
      </c>
      <c r="E187" s="78"/>
      <c r="F187" s="78"/>
      <c r="G187" s="78"/>
      <c r="H187" s="78"/>
      <c r="I187" s="78"/>
      <c r="J187" s="78"/>
      <c r="K187" s="78"/>
      <c r="L187" s="109"/>
      <c r="M187" s="109"/>
      <c r="N187" s="110"/>
      <c r="O187" s="110"/>
      <c r="P187" s="79"/>
      <c r="Q187" s="437"/>
      <c r="R187" s="9"/>
      <c r="S187" s="9"/>
      <c r="T187" s="9"/>
      <c r="U187" s="9"/>
    </row>
    <row r="188" spans="1:21" s="5" customFormat="1" x14ac:dyDescent="0.25">
      <c r="A188" s="427"/>
      <c r="B188" s="257"/>
      <c r="C188" s="80"/>
      <c r="D188" s="34" t="s">
        <v>102</v>
      </c>
      <c r="E188" s="34"/>
      <c r="F188" s="34"/>
      <c r="G188" s="34"/>
      <c r="H188" s="34"/>
      <c r="I188" s="559" t="s">
        <v>142</v>
      </c>
      <c r="J188" s="560"/>
      <c r="K188" s="34"/>
      <c r="L188" s="452"/>
      <c r="M188" s="453"/>
      <c r="N188" s="34"/>
      <c r="O188" s="345" t="e">
        <f>VLOOKUP(L188,p_ethique,2,FALSE)</f>
        <v>#N/A</v>
      </c>
      <c r="P188" s="329"/>
      <c r="Q188" s="437"/>
      <c r="R188" s="9"/>
      <c r="S188" s="9"/>
      <c r="T188" s="9"/>
      <c r="U188" s="9"/>
    </row>
    <row r="189" spans="1:21" s="5" customFormat="1" x14ac:dyDescent="0.25">
      <c r="A189" s="427"/>
      <c r="B189" s="257"/>
      <c r="C189" s="80"/>
      <c r="D189" s="34" t="s">
        <v>103</v>
      </c>
      <c r="E189" s="34"/>
      <c r="F189" s="34"/>
      <c r="G189" s="34"/>
      <c r="H189" s="34"/>
      <c r="I189" s="34"/>
      <c r="J189" s="34"/>
      <c r="K189" s="34"/>
      <c r="L189" s="553"/>
      <c r="M189" s="553"/>
      <c r="N189" s="34"/>
      <c r="O189" s="345"/>
      <c r="P189" s="329"/>
      <c r="Q189" s="437"/>
      <c r="R189" s="9"/>
      <c r="S189" s="9"/>
      <c r="T189" s="9"/>
      <c r="U189" s="9"/>
    </row>
    <row r="190" spans="1:21" s="5" customFormat="1" x14ac:dyDescent="0.25">
      <c r="A190" s="427"/>
      <c r="B190" s="257"/>
      <c r="C190" s="80"/>
      <c r="D190" s="34" t="s">
        <v>104</v>
      </c>
      <c r="E190" s="34"/>
      <c r="F190" s="34"/>
      <c r="G190" s="34"/>
      <c r="H190" s="34"/>
      <c r="I190" s="34"/>
      <c r="J190" s="34"/>
      <c r="K190" s="34"/>
      <c r="L190" s="452"/>
      <c r="M190" s="453"/>
      <c r="N190" s="34"/>
      <c r="O190" s="345" t="e">
        <f>VLOOKUP(L190,p_ethique,3,FALSE)</f>
        <v>#N/A</v>
      </c>
      <c r="P190" s="329"/>
      <c r="Q190" s="437"/>
      <c r="R190" s="9"/>
      <c r="S190" s="9"/>
      <c r="T190" s="9"/>
      <c r="U190" s="9"/>
    </row>
    <row r="191" spans="1:21" s="5" customFormat="1" x14ac:dyDescent="0.25">
      <c r="A191" s="427"/>
      <c r="B191" s="257"/>
      <c r="C191" s="80"/>
      <c r="D191" s="34" t="s">
        <v>152</v>
      </c>
      <c r="E191" s="34"/>
      <c r="F191" s="34"/>
      <c r="G191" s="34"/>
      <c r="H191" s="34"/>
      <c r="I191" s="34"/>
      <c r="J191" s="34"/>
      <c r="K191" s="34"/>
      <c r="L191" s="452"/>
      <c r="M191" s="453"/>
      <c r="N191" s="34"/>
      <c r="O191" s="345" t="e">
        <f>VLOOKUP(L191,p_ethique,4,FALSE)</f>
        <v>#N/A</v>
      </c>
      <c r="P191" s="329"/>
      <c r="Q191" s="437"/>
      <c r="R191" s="9"/>
      <c r="S191" s="9"/>
      <c r="T191" s="9"/>
      <c r="U191" s="9"/>
    </row>
    <row r="192" spans="1:21" s="5" customFormat="1" x14ac:dyDescent="0.25">
      <c r="A192" s="427"/>
      <c r="B192" s="257"/>
      <c r="C192" s="80"/>
      <c r="D192" s="34" t="s">
        <v>105</v>
      </c>
      <c r="E192" s="34"/>
      <c r="F192" s="34"/>
      <c r="G192" s="34"/>
      <c r="H192" s="34"/>
      <c r="I192" s="34"/>
      <c r="J192" s="34"/>
      <c r="K192" s="34"/>
      <c r="L192" s="515"/>
      <c r="M192" s="516"/>
      <c r="N192" s="34"/>
      <c r="O192" s="345" t="e">
        <f>VLOOKUP(L192,p_ethique,5,FALSE)</f>
        <v>#N/A</v>
      </c>
      <c r="P192" s="329"/>
      <c r="Q192" s="437"/>
      <c r="R192" s="9"/>
      <c r="S192" s="9"/>
      <c r="T192" s="9"/>
      <c r="U192" s="9"/>
    </row>
    <row r="193" spans="1:21" s="5" customFormat="1" ht="16.5" thickBot="1" x14ac:dyDescent="0.3">
      <c r="A193" s="427"/>
      <c r="B193" s="257"/>
      <c r="C193" s="80"/>
      <c r="D193" s="34" t="s">
        <v>251</v>
      </c>
      <c r="E193" s="82"/>
      <c r="F193" s="82"/>
      <c r="G193" s="82"/>
      <c r="H193" s="82"/>
      <c r="I193" s="82"/>
      <c r="J193" s="82"/>
      <c r="K193" s="82"/>
      <c r="L193" s="550"/>
      <c r="M193" s="551"/>
      <c r="N193" s="82"/>
      <c r="O193" s="352" t="e">
        <f>SUM(O188:O192)</f>
        <v>#N/A</v>
      </c>
      <c r="P193" s="329"/>
      <c r="Q193" s="437"/>
      <c r="R193" s="9"/>
      <c r="S193" s="9"/>
      <c r="T193" s="9"/>
      <c r="U193" s="9"/>
    </row>
    <row r="194" spans="1:21" s="5" customFormat="1" ht="16.5" thickBot="1" x14ac:dyDescent="0.3">
      <c r="A194" s="427"/>
      <c r="B194" s="257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90"/>
      <c r="O194" s="155" t="e">
        <f>IF(O193&gt;=120,100,IF(O193&gt;=70,70,0))</f>
        <v>#N/A</v>
      </c>
      <c r="P194" s="63" t="s">
        <v>109</v>
      </c>
      <c r="Q194" s="437"/>
      <c r="R194" s="9"/>
      <c r="S194" s="9"/>
      <c r="T194" s="9"/>
      <c r="U194" s="9"/>
    </row>
    <row r="195" spans="1:21" s="5" customFormat="1" ht="15" x14ac:dyDescent="0.25">
      <c r="A195" s="427"/>
      <c r="B195" s="257"/>
      <c r="C195" s="113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  <c r="Q195" s="437"/>
      <c r="R195" s="9"/>
      <c r="S195" s="9"/>
      <c r="T195" s="9"/>
      <c r="U195" s="9"/>
    </row>
    <row r="196" spans="1:21" s="5" customFormat="1" ht="15" x14ac:dyDescent="0.25">
      <c r="A196" s="427"/>
      <c r="B196" s="257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437"/>
      <c r="R196" s="9"/>
      <c r="S196" s="9"/>
      <c r="T196" s="9"/>
      <c r="U196" s="9"/>
    </row>
    <row r="197" spans="1:21" s="6" customFormat="1" ht="15" x14ac:dyDescent="0.25">
      <c r="A197" s="428"/>
      <c r="B197" s="258"/>
      <c r="C197" s="77"/>
      <c r="D197" s="262" t="s">
        <v>93</v>
      </c>
      <c r="E197" s="166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9"/>
      <c r="Q197" s="439"/>
      <c r="R197" s="10"/>
      <c r="S197" s="10"/>
      <c r="T197" s="10"/>
      <c r="U197" s="10"/>
    </row>
    <row r="198" spans="1:21" s="5" customFormat="1" ht="15" x14ac:dyDescent="0.25">
      <c r="A198" s="427"/>
      <c r="B198" s="257"/>
      <c r="C198" s="80"/>
      <c r="D198" s="81"/>
      <c r="E198" s="81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4"/>
      <c r="Q198" s="437"/>
      <c r="R198" s="9"/>
      <c r="S198" s="9"/>
      <c r="T198" s="9"/>
      <c r="U198" s="9"/>
    </row>
    <row r="199" spans="1:21" s="5" customFormat="1" x14ac:dyDescent="0.25">
      <c r="A199" s="427"/>
      <c r="B199" s="257"/>
      <c r="C199" s="80"/>
      <c r="D199" s="478"/>
      <c r="E199" s="478"/>
      <c r="F199" s="478"/>
      <c r="G199" s="478"/>
      <c r="H199" s="554" t="s">
        <v>42</v>
      </c>
      <c r="I199" s="555"/>
      <c r="J199" s="554" t="s">
        <v>43</v>
      </c>
      <c r="K199" s="555"/>
      <c r="L199" s="478"/>
      <c r="M199" s="478"/>
      <c r="N199" s="478"/>
      <c r="O199" s="478"/>
      <c r="P199" s="84"/>
      <c r="Q199" s="437"/>
      <c r="R199" s="9"/>
      <c r="S199" s="9"/>
      <c r="T199" s="9"/>
      <c r="U199" s="9"/>
    </row>
    <row r="200" spans="1:21" s="5" customFormat="1" x14ac:dyDescent="0.25">
      <c r="A200" s="427"/>
      <c r="B200" s="257"/>
      <c r="C200" s="80"/>
      <c r="D200" s="454" t="s">
        <v>252</v>
      </c>
      <c r="E200" s="454"/>
      <c r="F200" s="454"/>
      <c r="G200" s="455"/>
      <c r="H200" s="200"/>
      <c r="I200" s="355" t="b">
        <v>0</v>
      </c>
      <c r="J200" s="356"/>
      <c r="K200" s="355" t="b">
        <v>0</v>
      </c>
      <c r="L200" s="357"/>
      <c r="M200" s="358">
        <f>IF(I200,10,0)</f>
        <v>0</v>
      </c>
      <c r="N200" s="358">
        <f>IF(K200,10,0)</f>
        <v>0</v>
      </c>
      <c r="O200" s="358"/>
      <c r="P200" s="329"/>
      <c r="Q200" s="437"/>
      <c r="R200" s="9"/>
      <c r="S200" s="9"/>
      <c r="T200" s="9"/>
      <c r="U200" s="9"/>
    </row>
    <row r="201" spans="1:21" s="5" customFormat="1" x14ac:dyDescent="0.25">
      <c r="A201" s="427"/>
      <c r="B201" s="257"/>
      <c r="C201" s="80"/>
      <c r="D201" s="454" t="s">
        <v>253</v>
      </c>
      <c r="E201" s="454"/>
      <c r="F201" s="454"/>
      <c r="G201" s="455"/>
      <c r="H201" s="197"/>
      <c r="I201" s="359" t="b">
        <v>0</v>
      </c>
      <c r="J201" s="357"/>
      <c r="K201" s="359" t="b">
        <v>0</v>
      </c>
      <c r="L201" s="357"/>
      <c r="M201" s="358">
        <f t="shared" ref="M201:M202" si="0">IF(I201,10,0)</f>
        <v>0</v>
      </c>
      <c r="N201" s="358">
        <f>IF(K201,10,0)</f>
        <v>0</v>
      </c>
      <c r="O201" s="358"/>
      <c r="P201" s="329"/>
      <c r="Q201" s="437"/>
      <c r="R201" s="9"/>
      <c r="S201" s="9"/>
      <c r="T201" s="9"/>
      <c r="U201" s="9"/>
    </row>
    <row r="202" spans="1:21" s="5" customFormat="1" x14ac:dyDescent="0.25">
      <c r="A202" s="427"/>
      <c r="B202" s="257"/>
      <c r="C202" s="80"/>
      <c r="D202" s="454" t="s">
        <v>182</v>
      </c>
      <c r="E202" s="454"/>
      <c r="F202" s="454"/>
      <c r="G202" s="455"/>
      <c r="H202" s="198"/>
      <c r="I202" s="360" t="b">
        <v>0</v>
      </c>
      <c r="J202" s="361"/>
      <c r="K202" s="360" t="b">
        <v>0</v>
      </c>
      <c r="L202" s="362"/>
      <c r="M202" s="358">
        <f t="shared" si="0"/>
        <v>0</v>
      </c>
      <c r="N202" s="358">
        <f>IF(K202,10,0)</f>
        <v>0</v>
      </c>
      <c r="O202" s="362"/>
      <c r="P202" s="329"/>
      <c r="Q202" s="437"/>
      <c r="R202" s="9"/>
      <c r="S202" s="9"/>
      <c r="T202" s="9"/>
      <c r="U202" s="9"/>
    </row>
    <row r="203" spans="1:21" s="5" customFormat="1" x14ac:dyDescent="0.25">
      <c r="A203" s="427"/>
      <c r="B203" s="257"/>
      <c r="C203" s="80"/>
      <c r="D203" s="454" t="s">
        <v>148</v>
      </c>
      <c r="E203" s="454"/>
      <c r="F203" s="454"/>
      <c r="G203" s="455"/>
      <c r="H203" s="198"/>
      <c r="I203" s="360" t="b">
        <v>0</v>
      </c>
      <c r="J203" s="361"/>
      <c r="K203" s="360" t="b">
        <v>0</v>
      </c>
      <c r="L203" s="362"/>
      <c r="M203" s="358">
        <f>IF(I203,20,0)</f>
        <v>0</v>
      </c>
      <c r="N203" s="358">
        <f>IF(K203,20,0)</f>
        <v>0</v>
      </c>
      <c r="O203" s="362"/>
      <c r="P203" s="329"/>
      <c r="Q203" s="437"/>
      <c r="R203" s="9"/>
      <c r="S203" s="9"/>
      <c r="T203" s="9"/>
      <c r="U203" s="9"/>
    </row>
    <row r="204" spans="1:21" s="5" customFormat="1" x14ac:dyDescent="0.25">
      <c r="A204" s="427"/>
      <c r="B204" s="257"/>
      <c r="C204" s="80"/>
      <c r="D204" s="454" t="s">
        <v>149</v>
      </c>
      <c r="E204" s="454"/>
      <c r="F204" s="454"/>
      <c r="G204" s="455"/>
      <c r="H204" s="198"/>
      <c r="I204" s="360" t="b">
        <v>0</v>
      </c>
      <c r="J204" s="361"/>
      <c r="K204" s="360" t="b">
        <v>0</v>
      </c>
      <c r="L204" s="362"/>
      <c r="M204" s="358">
        <f>IF(I204,20,0)</f>
        <v>0</v>
      </c>
      <c r="N204" s="358">
        <f>IF(K204,20,0)</f>
        <v>0</v>
      </c>
      <c r="O204" s="362"/>
      <c r="P204" s="329"/>
      <c r="Q204" s="437"/>
      <c r="R204" s="9"/>
      <c r="S204" s="9"/>
      <c r="T204" s="9"/>
      <c r="U204" s="9"/>
    </row>
    <row r="205" spans="1:21" s="5" customFormat="1" x14ac:dyDescent="0.25">
      <c r="A205" s="427"/>
      <c r="B205" s="257"/>
      <c r="C205" s="80"/>
      <c r="D205" s="454" t="s">
        <v>150</v>
      </c>
      <c r="E205" s="454"/>
      <c r="F205" s="454"/>
      <c r="G205" s="455"/>
      <c r="H205" s="199"/>
      <c r="I205" s="363" t="b">
        <v>0</v>
      </c>
      <c r="J205" s="364"/>
      <c r="K205" s="363" t="b">
        <v>0</v>
      </c>
      <c r="L205" s="362"/>
      <c r="M205" s="358">
        <f>IF(I205,50,0)</f>
        <v>0</v>
      </c>
      <c r="N205" s="358">
        <f>IF(K205,50,0)</f>
        <v>0</v>
      </c>
      <c r="O205" s="362"/>
      <c r="P205" s="329"/>
      <c r="Q205" s="437"/>
      <c r="R205" s="9"/>
      <c r="S205" s="9"/>
      <c r="T205" s="9"/>
      <c r="U205" s="9"/>
    </row>
    <row r="206" spans="1:21" s="5" customFormat="1" ht="15" x14ac:dyDescent="0.25">
      <c r="A206" s="427"/>
      <c r="B206" s="257"/>
      <c r="C206" s="80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331"/>
      <c r="O206" s="331"/>
      <c r="P206" s="329"/>
      <c r="Q206" s="437"/>
      <c r="R206" s="9"/>
      <c r="S206" s="9"/>
      <c r="T206" s="9"/>
      <c r="U206" s="9"/>
    </row>
    <row r="207" spans="1:21" s="5" customFormat="1" ht="15" x14ac:dyDescent="0.25">
      <c r="A207" s="427"/>
      <c r="B207" s="257"/>
      <c r="C207" s="80"/>
      <c r="D207" s="112" t="s">
        <v>254</v>
      </c>
      <c r="E207" s="83"/>
      <c r="F207" s="82"/>
      <c r="G207" s="549" t="s">
        <v>120</v>
      </c>
      <c r="H207" s="549"/>
      <c r="I207" s="28"/>
      <c r="J207" s="82"/>
      <c r="K207" s="82"/>
      <c r="L207" s="82"/>
      <c r="M207" s="82"/>
      <c r="N207" s="330"/>
      <c r="O207" s="330"/>
      <c r="P207" s="329"/>
      <c r="Q207" s="437"/>
      <c r="R207" s="9"/>
      <c r="S207" s="9"/>
      <c r="T207" s="9"/>
      <c r="U207" s="9"/>
    </row>
    <row r="208" spans="1:21" s="5" customFormat="1" x14ac:dyDescent="0.25">
      <c r="A208" s="427"/>
      <c r="B208" s="257"/>
      <c r="C208" s="80"/>
      <c r="D208" s="82"/>
      <c r="E208" s="83"/>
      <c r="F208" s="86"/>
      <c r="G208" s="87"/>
      <c r="H208" s="89" t="s">
        <v>100</v>
      </c>
      <c r="I208" s="202"/>
      <c r="J208" s="365">
        <f>IF(I208="Oui",10,0)</f>
        <v>0</v>
      </c>
      <c r="K208" s="82"/>
      <c r="L208" s="83"/>
      <c r="M208" s="82"/>
      <c r="N208" s="89" t="s">
        <v>101</v>
      </c>
      <c r="O208" s="202"/>
      <c r="P208" s="351">
        <f>IF(O208="Oui",20,0)</f>
        <v>0</v>
      </c>
      <c r="Q208" s="437"/>
      <c r="R208" s="9"/>
      <c r="S208" s="9"/>
      <c r="T208" s="9"/>
      <c r="U208" s="9"/>
    </row>
    <row r="209" spans="1:21" s="5" customFormat="1" x14ac:dyDescent="0.25">
      <c r="A209" s="427"/>
      <c r="B209" s="257"/>
      <c r="C209" s="80"/>
      <c r="D209" s="201" t="s">
        <v>44</v>
      </c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84"/>
      <c r="Q209" s="437"/>
      <c r="R209" s="9"/>
      <c r="S209" s="9"/>
      <c r="T209" s="9"/>
      <c r="U209" s="9"/>
    </row>
    <row r="210" spans="1:21" s="5" customFormat="1" x14ac:dyDescent="0.25">
      <c r="A210" s="427"/>
      <c r="B210" s="257"/>
      <c r="C210" s="80"/>
      <c r="D210" s="104"/>
      <c r="E210" s="89" t="s">
        <v>82</v>
      </c>
      <c r="F210" s="202"/>
      <c r="G210" s="365">
        <f>IF(F210="Oui",10,0)</f>
        <v>0</v>
      </c>
      <c r="H210" s="89" t="s">
        <v>120</v>
      </c>
      <c r="I210" s="340"/>
      <c r="J210" s="104"/>
      <c r="K210" s="89" t="s">
        <v>184</v>
      </c>
      <c r="L210" s="204" t="e">
        <f>I210/L54</f>
        <v>#DIV/0!</v>
      </c>
      <c r="M210" s="104"/>
      <c r="N210" s="104"/>
      <c r="O210" s="365" t="e">
        <f>IF(L210&gt;0.15,40,IF(L210&gt;=0.05,20,0))</f>
        <v>#DIV/0!</v>
      </c>
      <c r="P210" s="84"/>
      <c r="Q210" s="437"/>
      <c r="R210" s="9"/>
      <c r="S210" s="9"/>
      <c r="T210" s="9"/>
      <c r="U210" s="9"/>
    </row>
    <row r="211" spans="1:21" s="5" customFormat="1" ht="15" x14ac:dyDescent="0.25">
      <c r="A211" s="427"/>
      <c r="B211" s="257"/>
      <c r="C211" s="80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84"/>
      <c r="Q211" s="437"/>
      <c r="R211" s="9"/>
      <c r="S211" s="9"/>
      <c r="T211" s="9"/>
      <c r="U211" s="9"/>
    </row>
    <row r="212" spans="1:21" s="5" customFormat="1" x14ac:dyDescent="0.25">
      <c r="A212" s="427"/>
      <c r="B212" s="257"/>
      <c r="C212" s="80"/>
      <c r="D212" s="444" t="s">
        <v>159</v>
      </c>
      <c r="E212" s="104"/>
      <c r="F212" s="104"/>
      <c r="G212" s="104"/>
      <c r="H212" s="104"/>
      <c r="I212" s="104"/>
      <c r="J212" s="104"/>
      <c r="K212" s="104"/>
      <c r="L212" s="104"/>
      <c r="M212" s="104"/>
      <c r="N212" s="207"/>
      <c r="O212" s="202"/>
      <c r="P212" s="351">
        <f>IF(O212="Oui",20,0)</f>
        <v>0</v>
      </c>
      <c r="Q212" s="437"/>
      <c r="R212" s="9"/>
      <c r="S212" s="9"/>
      <c r="T212" s="9"/>
      <c r="U212" s="9"/>
    </row>
    <row r="213" spans="1:21" s="5" customFormat="1" ht="15" x14ac:dyDescent="0.25">
      <c r="A213" s="427"/>
      <c r="B213" s="257"/>
      <c r="C213" s="80"/>
      <c r="D213" s="444" t="s">
        <v>261</v>
      </c>
      <c r="E213" s="104"/>
      <c r="F213" s="104"/>
      <c r="G213" s="104"/>
      <c r="H213" s="104"/>
      <c r="I213" s="104"/>
      <c r="J213" s="104"/>
      <c r="K213" s="104"/>
      <c r="L213" s="104"/>
      <c r="M213" s="104"/>
      <c r="N213" s="207"/>
      <c r="O213" s="445"/>
      <c r="P213" s="84"/>
      <c r="Q213" s="437"/>
      <c r="R213" s="9"/>
      <c r="S213" s="9"/>
      <c r="T213" s="9"/>
      <c r="U213" s="9"/>
    </row>
    <row r="214" spans="1:21" s="5" customFormat="1" ht="15" x14ac:dyDescent="0.25">
      <c r="A214" s="427"/>
      <c r="B214" s="257"/>
      <c r="C214" s="80"/>
      <c r="D214" s="203" t="s">
        <v>212</v>
      </c>
      <c r="E214" s="104"/>
      <c r="F214" s="104"/>
      <c r="G214" s="104"/>
      <c r="H214" s="104"/>
      <c r="I214" s="87"/>
      <c r="J214" s="87" t="s">
        <v>215</v>
      </c>
      <c r="K214" s="87"/>
      <c r="L214" s="104"/>
      <c r="M214" s="87"/>
      <c r="N214" s="366" t="b">
        <v>0</v>
      </c>
      <c r="O214" s="367">
        <f>IF(N214,10,0)</f>
        <v>0</v>
      </c>
      <c r="P214" s="368"/>
      <c r="Q214" s="438"/>
      <c r="R214" s="9"/>
      <c r="S214" s="9"/>
      <c r="T214" s="9"/>
      <c r="U214" s="9"/>
    </row>
    <row r="215" spans="1:21" s="5" customFormat="1" x14ac:dyDescent="0.25">
      <c r="A215" s="427"/>
      <c r="B215" s="257"/>
      <c r="C215" s="80"/>
      <c r="D215" s="517"/>
      <c r="E215" s="518"/>
      <c r="F215" s="519"/>
      <c r="G215" s="104" t="e">
        <f>VLOOKUP(D215,p_freqentr,2,FALSE)</f>
        <v>#N/A</v>
      </c>
      <c r="H215" s="104"/>
      <c r="I215" s="87"/>
      <c r="J215" s="87" t="s">
        <v>216</v>
      </c>
      <c r="K215" s="87"/>
      <c r="L215" s="87"/>
      <c r="M215" s="87"/>
      <c r="N215" s="366" t="b">
        <v>0</v>
      </c>
      <c r="O215" s="367">
        <f>IF(N215,40,0)</f>
        <v>0</v>
      </c>
      <c r="P215" s="369"/>
      <c r="Q215" s="438"/>
      <c r="R215" s="9"/>
      <c r="S215" s="9"/>
      <c r="T215" s="9"/>
      <c r="U215" s="9"/>
    </row>
    <row r="216" spans="1:21" s="5" customFormat="1" thickBot="1" x14ac:dyDescent="0.3">
      <c r="A216" s="427"/>
      <c r="B216" s="257"/>
      <c r="C216" s="80"/>
      <c r="D216" s="83"/>
      <c r="E216" s="82"/>
      <c r="F216" s="82"/>
      <c r="G216" s="82"/>
      <c r="H216" s="82"/>
      <c r="I216" s="82"/>
      <c r="J216" s="82"/>
      <c r="K216" s="87"/>
      <c r="L216" s="87"/>
      <c r="M216" s="87"/>
      <c r="N216" s="89"/>
      <c r="O216" s="89"/>
      <c r="P216" s="177"/>
      <c r="Q216" s="437"/>
      <c r="R216" s="9"/>
      <c r="S216" s="9"/>
      <c r="T216" s="9"/>
      <c r="U216" s="9"/>
    </row>
    <row r="217" spans="1:21" s="5" customFormat="1" ht="16.5" thickBot="1" x14ac:dyDescent="0.3">
      <c r="A217" s="427"/>
      <c r="B217" s="257"/>
      <c r="C217" s="170"/>
      <c r="D217" s="82"/>
      <c r="E217" s="82"/>
      <c r="F217" s="70"/>
      <c r="G217" s="82"/>
      <c r="H217" s="82"/>
      <c r="I217" s="82"/>
      <c r="J217" s="82"/>
      <c r="K217" s="82"/>
      <c r="L217" s="82"/>
      <c r="M217" s="82" t="e">
        <f>SUM(M200:M205,N200:N205,J208,P208,G210,P212,G215,O214,O215,O210)</f>
        <v>#N/A</v>
      </c>
      <c r="N217" s="90"/>
      <c r="O217" s="155" t="e">
        <f>IF(M217&gt;=300,100,IF(M217&gt;=240,70,IF(M217&gt;=190,40,0)))</f>
        <v>#N/A</v>
      </c>
      <c r="P217" s="157" t="s">
        <v>109</v>
      </c>
      <c r="Q217" s="437"/>
      <c r="R217" s="9"/>
      <c r="S217" s="9"/>
      <c r="T217" s="9"/>
      <c r="U217" s="9"/>
    </row>
    <row r="218" spans="1:21" s="5" customFormat="1" ht="15" x14ac:dyDescent="0.25">
      <c r="A218" s="427"/>
      <c r="B218" s="257"/>
      <c r="C218" s="113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171"/>
      <c r="P218" s="172"/>
      <c r="Q218" s="437"/>
      <c r="R218" s="9"/>
      <c r="S218" s="9"/>
      <c r="T218" s="9"/>
      <c r="U218" s="9"/>
    </row>
    <row r="219" spans="1:21" s="5" customFormat="1" ht="15" x14ac:dyDescent="0.25">
      <c r="A219" s="427"/>
      <c r="B219" s="254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6"/>
      <c r="P219" s="256"/>
      <c r="Q219" s="437"/>
      <c r="R219" s="9"/>
      <c r="S219" s="9"/>
      <c r="T219" s="9"/>
      <c r="U219" s="9"/>
    </row>
    <row r="220" spans="1:21" s="290" customFormat="1" x14ac:dyDescent="0.25">
      <c r="A220" s="429"/>
      <c r="B220" s="283" t="s">
        <v>234</v>
      </c>
      <c r="C220" s="284"/>
      <c r="D220" s="285"/>
      <c r="E220" s="286"/>
      <c r="F220" s="285"/>
      <c r="G220" s="287"/>
      <c r="H220" s="285"/>
      <c r="I220" s="285"/>
      <c r="J220" s="285"/>
      <c r="K220" s="285"/>
      <c r="L220" s="288"/>
      <c r="M220" s="285"/>
      <c r="N220" s="286" t="e">
        <f>IF(O220&gt;340,"Bien",IF(O220&gt;270,"Satisfaisant",IF(O220&gt;190,"à améliorer",IF(O220&gt;41,"Insuffisant",""))))</f>
        <v>#N/A</v>
      </c>
      <c r="O220" s="289" t="e">
        <f>O158+O184+O194+O217</f>
        <v>#N/A</v>
      </c>
      <c r="P220" s="284" t="s">
        <v>109</v>
      </c>
      <c r="Q220" s="440"/>
      <c r="R220" s="337"/>
      <c r="S220" s="337"/>
      <c r="T220" s="337"/>
      <c r="U220" s="337"/>
    </row>
    <row r="221" spans="1:21" s="31" customFormat="1" ht="13.5" customHeight="1" x14ac:dyDescent="0.25">
      <c r="A221" s="422"/>
      <c r="C221" s="211"/>
      <c r="D221" s="263"/>
      <c r="E221" s="264"/>
      <c r="F221" s="265"/>
      <c r="G221" s="266"/>
      <c r="H221" s="265"/>
      <c r="I221" s="265"/>
      <c r="J221" s="267"/>
      <c r="K221" s="263"/>
      <c r="L221" s="268"/>
      <c r="M221" s="263"/>
      <c r="N221" s="269"/>
      <c r="O221" s="270"/>
      <c r="P221" s="221"/>
      <c r="Q221" s="432"/>
      <c r="R221" s="211"/>
      <c r="S221" s="211"/>
      <c r="T221" s="211"/>
      <c r="U221" s="211"/>
    </row>
    <row r="222" spans="1:21" x14ac:dyDescent="0.25">
      <c r="A222" s="422"/>
      <c r="B222" s="460" t="s">
        <v>54</v>
      </c>
      <c r="C222" s="460"/>
      <c r="D222" s="460"/>
      <c r="E222" s="460"/>
      <c r="F222" s="460"/>
      <c r="G222" s="460"/>
      <c r="H222" s="460"/>
      <c r="I222" s="460"/>
      <c r="J222" s="460"/>
      <c r="K222" s="460"/>
      <c r="L222" s="460"/>
      <c r="M222" s="460"/>
      <c r="N222" s="460"/>
      <c r="O222" s="460"/>
      <c r="P222" s="460"/>
      <c r="Q222" s="432"/>
    </row>
    <row r="223" spans="1:21" x14ac:dyDescent="0.25">
      <c r="A223" s="422"/>
      <c r="B223" s="460"/>
      <c r="C223" s="460"/>
      <c r="D223" s="460"/>
      <c r="E223" s="460"/>
      <c r="F223" s="460"/>
      <c r="G223" s="460"/>
      <c r="H223" s="460"/>
      <c r="I223" s="460"/>
      <c r="J223" s="460"/>
      <c r="K223" s="460"/>
      <c r="L223" s="460"/>
      <c r="M223" s="460"/>
      <c r="N223" s="460"/>
      <c r="O223" s="460"/>
      <c r="P223" s="460"/>
      <c r="Q223" s="432"/>
    </row>
    <row r="224" spans="1:21" x14ac:dyDescent="0.25">
      <c r="A224" s="422"/>
      <c r="B224" s="273"/>
      <c r="C224" s="41"/>
      <c r="D224" s="71" t="s">
        <v>46</v>
      </c>
      <c r="E224" s="71"/>
      <c r="F224" s="71"/>
      <c r="G224" s="43"/>
      <c r="H224" s="43"/>
      <c r="I224" s="43"/>
      <c r="J224" s="43"/>
      <c r="K224" s="43"/>
      <c r="L224" s="43"/>
      <c r="M224" s="43"/>
      <c r="N224" s="43"/>
      <c r="O224" s="43"/>
      <c r="P224" s="44"/>
      <c r="Q224" s="432"/>
    </row>
    <row r="225" spans="1:17" x14ac:dyDescent="0.25">
      <c r="A225" s="422"/>
      <c r="B225" s="273"/>
      <c r="C225" s="45"/>
      <c r="D225" s="479" t="s">
        <v>217</v>
      </c>
      <c r="E225" s="479"/>
      <c r="F225" s="479"/>
      <c r="G225" s="479"/>
      <c r="H225" s="479"/>
      <c r="I225" s="479"/>
      <c r="J225" s="70"/>
      <c r="K225" s="70"/>
      <c r="L225" s="70"/>
      <c r="M225" s="70"/>
      <c r="N225" s="70"/>
      <c r="O225" s="70"/>
      <c r="P225" s="47"/>
      <c r="Q225" s="432"/>
    </row>
    <row r="226" spans="1:17" x14ac:dyDescent="0.25">
      <c r="A226" s="422"/>
      <c r="B226" s="273"/>
      <c r="C226" s="45"/>
      <c r="D226" s="479"/>
      <c r="E226" s="479"/>
      <c r="F226" s="479"/>
      <c r="G226" s="479"/>
      <c r="H226" s="479"/>
      <c r="I226" s="479"/>
      <c r="J226" s="452"/>
      <c r="K226" s="453"/>
      <c r="L226" s="70"/>
      <c r="M226" s="70"/>
      <c r="N226" s="70"/>
      <c r="O226" s="370" t="e">
        <f>VLOOKUP(J226,p_freqtournoi,2,FALSE)</f>
        <v>#N/A</v>
      </c>
      <c r="P226" s="371"/>
      <c r="Q226" s="441"/>
    </row>
    <row r="227" spans="1:17" x14ac:dyDescent="0.25">
      <c r="A227" s="422"/>
      <c r="B227" s="273"/>
      <c r="C227" s="45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370"/>
      <c r="P227" s="371"/>
      <c r="Q227" s="441"/>
    </row>
    <row r="228" spans="1:17" x14ac:dyDescent="0.25">
      <c r="A228" s="422"/>
      <c r="B228" s="273"/>
      <c r="C228" s="45"/>
      <c r="D228" s="479" t="s">
        <v>218</v>
      </c>
      <c r="E228" s="479"/>
      <c r="F228" s="479"/>
      <c r="G228" s="479"/>
      <c r="H228" s="479"/>
      <c r="I228" s="479"/>
      <c r="J228" s="70"/>
      <c r="K228" s="70"/>
      <c r="L228" s="70"/>
      <c r="M228" s="70"/>
      <c r="N228" s="70"/>
      <c r="O228" s="370"/>
      <c r="P228" s="371"/>
      <c r="Q228" s="441"/>
    </row>
    <row r="229" spans="1:17" x14ac:dyDescent="0.25">
      <c r="A229" s="422"/>
      <c r="B229" s="273"/>
      <c r="C229" s="45"/>
      <c r="D229" s="479"/>
      <c r="E229" s="479"/>
      <c r="F229" s="479"/>
      <c r="G229" s="479"/>
      <c r="H229" s="479"/>
      <c r="I229" s="479"/>
      <c r="J229" s="70"/>
      <c r="K229" s="70" t="s">
        <v>49</v>
      </c>
      <c r="L229" s="70"/>
      <c r="M229" s="70"/>
      <c r="N229" s="70"/>
      <c r="O229" s="372" t="b">
        <v>0</v>
      </c>
      <c r="P229" s="371">
        <f>IF(OR(O229:O232),40,0)</f>
        <v>0</v>
      </c>
      <c r="Q229" s="441"/>
    </row>
    <row r="230" spans="1:17" x14ac:dyDescent="0.25">
      <c r="A230" s="422"/>
      <c r="B230" s="273"/>
      <c r="C230" s="45"/>
      <c r="D230" s="70"/>
      <c r="E230" s="70"/>
      <c r="F230" s="70"/>
      <c r="G230" s="70"/>
      <c r="H230" s="70"/>
      <c r="I230" s="60" t="s">
        <v>219</v>
      </c>
      <c r="J230" s="70"/>
      <c r="K230" s="70" t="s">
        <v>50</v>
      </c>
      <c r="L230" s="70"/>
      <c r="M230" s="70"/>
      <c r="N230" s="70"/>
      <c r="O230" s="372" t="b">
        <v>0</v>
      </c>
      <c r="P230" s="371"/>
      <c r="Q230" s="441"/>
    </row>
    <row r="231" spans="1:17" x14ac:dyDescent="0.25">
      <c r="A231" s="422"/>
      <c r="B231" s="273"/>
      <c r="C231" s="45"/>
      <c r="D231" s="70"/>
      <c r="E231" s="70"/>
      <c r="F231" s="70"/>
      <c r="G231" s="70"/>
      <c r="H231" s="70"/>
      <c r="I231" s="70"/>
      <c r="J231" s="70"/>
      <c r="K231" s="70" t="s">
        <v>51</v>
      </c>
      <c r="L231" s="70"/>
      <c r="M231" s="70"/>
      <c r="N231" s="70"/>
      <c r="O231" s="372" t="b">
        <v>0</v>
      </c>
      <c r="P231" s="371"/>
      <c r="Q231" s="441"/>
    </row>
    <row r="232" spans="1:17" x14ac:dyDescent="0.25">
      <c r="A232" s="422"/>
      <c r="B232" s="273"/>
      <c r="C232" s="45"/>
      <c r="D232" s="70"/>
      <c r="E232" s="70"/>
      <c r="F232" s="70"/>
      <c r="G232" s="70"/>
      <c r="H232" s="70"/>
      <c r="I232" s="70"/>
      <c r="J232" s="70"/>
      <c r="K232" s="70" t="s">
        <v>52</v>
      </c>
      <c r="L232" s="70"/>
      <c r="M232" s="70"/>
      <c r="N232" s="70"/>
      <c r="O232" s="372" t="b">
        <v>0</v>
      </c>
      <c r="P232" s="371"/>
      <c r="Q232" s="441"/>
    </row>
    <row r="233" spans="1:17" x14ac:dyDescent="0.25">
      <c r="A233" s="422"/>
      <c r="B233" s="273"/>
      <c r="C233" s="45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370"/>
      <c r="P233" s="371"/>
      <c r="Q233" s="441"/>
    </row>
    <row r="234" spans="1:17" x14ac:dyDescent="0.25">
      <c r="A234" s="422"/>
      <c r="B234" s="273"/>
      <c r="C234" s="45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370"/>
      <c r="P234" s="371"/>
      <c r="Q234" s="441"/>
    </row>
    <row r="235" spans="1:17" x14ac:dyDescent="0.25">
      <c r="A235" s="422"/>
      <c r="B235" s="273"/>
      <c r="C235" s="45"/>
      <c r="D235" s="479" t="s">
        <v>53</v>
      </c>
      <c r="E235" s="479"/>
      <c r="F235" s="479"/>
      <c r="G235" s="479"/>
      <c r="H235" s="479"/>
      <c r="I235" s="479"/>
      <c r="J235" s="70"/>
      <c r="K235" s="70" t="s">
        <v>255</v>
      </c>
      <c r="L235" s="70"/>
      <c r="M235" s="70"/>
      <c r="N235" s="70"/>
      <c r="O235" s="372" t="b">
        <v>0</v>
      </c>
      <c r="P235" s="371">
        <f>IF(O235,20,0)</f>
        <v>0</v>
      </c>
      <c r="Q235" s="441"/>
    </row>
    <row r="236" spans="1:17" x14ac:dyDescent="0.25">
      <c r="A236" s="422"/>
      <c r="B236" s="273"/>
      <c r="C236" s="45"/>
      <c r="D236" s="479"/>
      <c r="E236" s="479"/>
      <c r="F236" s="479"/>
      <c r="G236" s="479"/>
      <c r="H236" s="479"/>
      <c r="I236" s="479"/>
      <c r="J236" s="70"/>
      <c r="K236" s="70" t="s">
        <v>79</v>
      </c>
      <c r="L236" s="70"/>
      <c r="M236" s="70"/>
      <c r="N236" s="70"/>
      <c r="O236" s="372" t="b">
        <v>0</v>
      </c>
      <c r="P236" s="371">
        <f>IF(O236,20,0)</f>
        <v>0</v>
      </c>
      <c r="Q236" s="441"/>
    </row>
    <row r="237" spans="1:17" ht="16.5" thickBot="1" x14ac:dyDescent="0.3">
      <c r="A237" s="422"/>
      <c r="B237" s="273"/>
      <c r="C237" s="45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47"/>
      <c r="Q237" s="432"/>
    </row>
    <row r="238" spans="1:17" ht="16.5" thickBot="1" x14ac:dyDescent="0.3">
      <c r="A238" s="422"/>
      <c r="B238" s="273"/>
      <c r="C238" s="45"/>
      <c r="D238" s="111"/>
      <c r="E238" s="70"/>
      <c r="F238" s="70"/>
      <c r="G238" s="70"/>
      <c r="H238" s="70"/>
      <c r="I238" s="70"/>
      <c r="J238" s="70"/>
      <c r="K238" s="70"/>
      <c r="L238" s="70"/>
      <c r="M238" s="70" t="e">
        <f>SUM(O226,P229,P236,P235)</f>
        <v>#N/A</v>
      </c>
      <c r="N238" s="62"/>
      <c r="O238" s="155" t="e">
        <f>IF(M238&gt;=160,80,IF(M238&gt;=120,50,IF(M238&gt;=90,30,0)))</f>
        <v>#N/A</v>
      </c>
      <c r="P238" s="63" t="s">
        <v>109</v>
      </c>
      <c r="Q238" s="432"/>
    </row>
    <row r="239" spans="1:17" x14ac:dyDescent="0.25">
      <c r="A239" s="422"/>
      <c r="B239" s="273"/>
      <c r="C239" s="64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6"/>
      <c r="Q239" s="432"/>
    </row>
    <row r="240" spans="1:17" x14ac:dyDescent="0.25">
      <c r="A240" s="422"/>
      <c r="B240" s="273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432"/>
    </row>
    <row r="241" spans="1:17" x14ac:dyDescent="0.25">
      <c r="A241" s="422"/>
      <c r="B241" s="273"/>
      <c r="C241" s="41"/>
      <c r="D241" s="71" t="s">
        <v>55</v>
      </c>
      <c r="E241" s="71"/>
      <c r="F241" s="71"/>
      <c r="G241" s="43"/>
      <c r="H241" s="43"/>
      <c r="I241" s="43"/>
      <c r="J241" s="43"/>
      <c r="K241" s="43"/>
      <c r="L241" s="43"/>
      <c r="M241" s="43"/>
      <c r="N241" s="43"/>
      <c r="O241" s="43"/>
      <c r="P241" s="44"/>
      <c r="Q241" s="432"/>
    </row>
    <row r="242" spans="1:17" x14ac:dyDescent="0.25">
      <c r="A242" s="422"/>
      <c r="B242" s="273"/>
      <c r="C242" s="45"/>
      <c r="D242" s="54" t="s">
        <v>222</v>
      </c>
      <c r="E242" s="54"/>
      <c r="F242" s="54"/>
      <c r="G242" s="54"/>
      <c r="H242" s="54"/>
      <c r="I242" s="54"/>
      <c r="J242" s="54"/>
      <c r="K242" s="34"/>
      <c r="L242" s="208" t="s">
        <v>143</v>
      </c>
      <c r="M242" s="178"/>
      <c r="N242" s="178"/>
      <c r="O242" s="34"/>
      <c r="P242" s="47"/>
      <c r="Q242" s="432"/>
    </row>
    <row r="243" spans="1:17" x14ac:dyDescent="0.25">
      <c r="A243" s="422"/>
      <c r="B243" s="273"/>
      <c r="C243" s="45"/>
      <c r="D243" s="34"/>
      <c r="E243" s="34"/>
      <c r="F243" s="34"/>
      <c r="G243" s="34"/>
      <c r="H243" s="34"/>
      <c r="I243" s="34"/>
      <c r="J243" s="34"/>
      <c r="K243" s="34"/>
      <c r="L243" s="208" t="s">
        <v>144</v>
      </c>
      <c r="M243" s="178"/>
      <c r="N243" s="178"/>
      <c r="O243" s="34"/>
      <c r="P243" s="47"/>
      <c r="Q243" s="432"/>
    </row>
    <row r="244" spans="1:17" x14ac:dyDescent="0.25">
      <c r="A244" s="422"/>
      <c r="B244" s="273"/>
      <c r="C244" s="45"/>
      <c r="D244" s="34"/>
      <c r="E244" s="34"/>
      <c r="F244" s="34"/>
      <c r="G244" s="34"/>
      <c r="H244" s="34"/>
      <c r="I244" s="34"/>
      <c r="J244" s="34"/>
      <c r="K244" s="34"/>
      <c r="L244" s="208" t="s">
        <v>145</v>
      </c>
      <c r="M244" s="178"/>
      <c r="N244" s="178"/>
      <c r="O244" s="34"/>
      <c r="P244" s="47"/>
      <c r="Q244" s="432"/>
    </row>
    <row r="245" spans="1:17" x14ac:dyDescent="0.25">
      <c r="A245" s="422"/>
      <c r="B245" s="273"/>
      <c r="C245" s="45"/>
      <c r="D245" s="34"/>
      <c r="E245" s="34"/>
      <c r="F245" s="34"/>
      <c r="G245" s="34"/>
      <c r="H245" s="34"/>
      <c r="I245" s="34"/>
      <c r="J245" s="34"/>
      <c r="K245" s="150"/>
      <c r="L245" s="208" t="s">
        <v>146</v>
      </c>
      <c r="M245" s="150"/>
      <c r="N245" s="150"/>
      <c r="O245" s="34"/>
      <c r="P245" s="47"/>
      <c r="Q245" s="432"/>
    </row>
    <row r="246" spans="1:17" x14ac:dyDescent="0.25">
      <c r="A246" s="422"/>
      <c r="B246" s="273"/>
      <c r="C246" s="45"/>
      <c r="D246" s="34"/>
      <c r="E246" s="34"/>
      <c r="F246" s="34"/>
      <c r="G246" s="34"/>
      <c r="H246" s="34"/>
      <c r="I246" s="34"/>
      <c r="J246" s="34"/>
      <c r="K246" s="150"/>
      <c r="L246" s="208"/>
      <c r="M246" s="150"/>
      <c r="N246" s="150"/>
      <c r="O246" s="34"/>
      <c r="P246" s="47"/>
      <c r="Q246" s="432"/>
    </row>
    <row r="247" spans="1:17" x14ac:dyDescent="0.25">
      <c r="A247" s="422"/>
      <c r="B247" s="273"/>
      <c r="C247" s="45"/>
      <c r="D247" s="34" t="s">
        <v>220</v>
      </c>
      <c r="E247" s="34"/>
      <c r="F247" s="34"/>
      <c r="G247" s="150"/>
      <c r="H247" s="150"/>
      <c r="I247" s="150"/>
      <c r="J247" s="150"/>
      <c r="K247" s="34"/>
      <c r="L247" s="150"/>
      <c r="M247" s="150"/>
      <c r="N247" s="446"/>
      <c r="O247" s="34"/>
      <c r="P247" s="47"/>
      <c r="Q247" s="432"/>
    </row>
    <row r="248" spans="1:17" x14ac:dyDescent="0.25">
      <c r="A248" s="422"/>
      <c r="B248" s="273"/>
      <c r="C248" s="45"/>
      <c r="D248" s="34" t="s">
        <v>256</v>
      </c>
      <c r="E248" s="34"/>
      <c r="F248" s="34"/>
      <c r="G248" s="150"/>
      <c r="H248" s="150"/>
      <c r="I248" s="150"/>
      <c r="J248" s="150"/>
      <c r="K248" s="150"/>
      <c r="L248" s="150"/>
      <c r="M248" s="150"/>
      <c r="N248" s="446"/>
      <c r="O248" s="34"/>
      <c r="P248" s="47"/>
      <c r="Q248" s="432"/>
    </row>
    <row r="249" spans="1:17" x14ac:dyDescent="0.25">
      <c r="A249" s="422"/>
      <c r="B249" s="273"/>
      <c r="C249" s="45"/>
      <c r="D249" s="502" t="s">
        <v>77</v>
      </c>
      <c r="E249" s="502"/>
      <c r="F249" s="502"/>
      <c r="G249" s="502"/>
      <c r="H249" s="502"/>
      <c r="I249" s="502"/>
      <c r="J249" s="502"/>
      <c r="K249" s="182" t="s">
        <v>221</v>
      </c>
      <c r="L249" s="182"/>
      <c r="M249" s="179"/>
      <c r="N249" s="179"/>
      <c r="O249" s="373" t="b">
        <v>0</v>
      </c>
      <c r="P249" s="371">
        <f>IF(O249,10,0)</f>
        <v>0</v>
      </c>
      <c r="Q249" s="441"/>
    </row>
    <row r="250" spans="1:17" x14ac:dyDescent="0.25">
      <c r="A250" s="422"/>
      <c r="B250" s="273"/>
      <c r="C250" s="45"/>
      <c r="D250" s="117"/>
      <c r="E250" s="117"/>
      <c r="F250" s="34"/>
      <c r="G250" s="34"/>
      <c r="H250" s="34"/>
      <c r="I250" s="34"/>
      <c r="J250" s="34"/>
      <c r="K250" s="182" t="s">
        <v>88</v>
      </c>
      <c r="L250" s="182"/>
      <c r="M250" s="179"/>
      <c r="N250" s="179"/>
      <c r="O250" s="373" t="b">
        <v>0</v>
      </c>
      <c r="P250" s="371">
        <f>IF(O250,10,0)</f>
        <v>0</v>
      </c>
      <c r="Q250" s="441"/>
    </row>
    <row r="251" spans="1:17" x14ac:dyDescent="0.25">
      <c r="A251" s="422"/>
      <c r="B251" s="273"/>
      <c r="C251" s="45"/>
      <c r="D251" s="117"/>
      <c r="E251" s="117"/>
      <c r="F251" s="34"/>
      <c r="G251" s="34"/>
      <c r="H251" s="34"/>
      <c r="I251" s="34"/>
      <c r="J251" s="34"/>
      <c r="K251" s="34"/>
      <c r="L251" s="34"/>
      <c r="M251" s="34"/>
      <c r="N251" s="34"/>
      <c r="O251" s="374"/>
      <c r="P251" s="371"/>
      <c r="Q251" s="441"/>
    </row>
    <row r="252" spans="1:17" x14ac:dyDescent="0.25">
      <c r="A252" s="422"/>
      <c r="B252" s="273"/>
      <c r="C252" s="45"/>
      <c r="D252" s="462" t="s">
        <v>161</v>
      </c>
      <c r="E252" s="462"/>
      <c r="F252" s="462"/>
      <c r="G252" s="462"/>
      <c r="H252" s="462"/>
      <c r="I252" s="462"/>
      <c r="J252" s="209"/>
      <c r="K252" s="182" t="s">
        <v>56</v>
      </c>
      <c r="L252" s="179"/>
      <c r="M252" s="179"/>
      <c r="N252" s="179"/>
      <c r="O252" s="373" t="b">
        <v>0</v>
      </c>
      <c r="P252" s="371">
        <f>IF(O252,60,0)</f>
        <v>0</v>
      </c>
      <c r="Q252" s="441"/>
    </row>
    <row r="253" spans="1:17" x14ac:dyDescent="0.25">
      <c r="A253" s="422"/>
      <c r="B253" s="273"/>
      <c r="C253" s="45"/>
      <c r="D253" s="462"/>
      <c r="E253" s="462"/>
      <c r="F253" s="462"/>
      <c r="G253" s="462"/>
      <c r="H253" s="462"/>
      <c r="I253" s="462"/>
      <c r="J253" s="209"/>
      <c r="K253" s="182" t="s">
        <v>160</v>
      </c>
      <c r="L253" s="179"/>
      <c r="M253" s="179"/>
      <c r="N253" s="179"/>
      <c r="O253" s="373" t="b">
        <v>0</v>
      </c>
      <c r="P253" s="371">
        <f>IF(O253,30,0)</f>
        <v>0</v>
      </c>
      <c r="Q253" s="441"/>
    </row>
    <row r="254" spans="1:17" x14ac:dyDescent="0.25">
      <c r="A254" s="422"/>
      <c r="B254" s="273"/>
      <c r="C254" s="45"/>
      <c r="D254" s="462"/>
      <c r="E254" s="462"/>
      <c r="F254" s="462"/>
      <c r="G254" s="462"/>
      <c r="H254" s="462"/>
      <c r="I254" s="462"/>
      <c r="J254" s="34"/>
      <c r="K254" s="34"/>
      <c r="L254" s="34"/>
      <c r="M254" s="34"/>
      <c r="N254" s="34"/>
      <c r="O254" s="374"/>
      <c r="P254" s="371"/>
      <c r="Q254" s="441"/>
    </row>
    <row r="255" spans="1:17" x14ac:dyDescent="0.25">
      <c r="A255" s="422"/>
      <c r="B255" s="273"/>
      <c r="C255" s="45"/>
      <c r="D255" s="11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75"/>
      <c r="P255" s="371"/>
      <c r="Q255" s="441"/>
    </row>
    <row r="256" spans="1:17" x14ac:dyDescent="0.25">
      <c r="A256" s="422"/>
      <c r="B256" s="273"/>
      <c r="C256" s="45"/>
      <c r="D256" s="34" t="s">
        <v>223</v>
      </c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202"/>
      <c r="P256" s="371">
        <f>IF(O256="Oui",20,0)</f>
        <v>0</v>
      </c>
      <c r="Q256" s="432"/>
    </row>
    <row r="257" spans="1:17" ht="16.5" thickBot="1" x14ac:dyDescent="0.3">
      <c r="A257" s="422"/>
      <c r="B257" s="273"/>
      <c r="C257" s="45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60"/>
      <c r="P257" s="47"/>
      <c r="Q257" s="432"/>
    </row>
    <row r="258" spans="1:17" ht="16.5" thickBot="1" x14ac:dyDescent="0.3">
      <c r="A258" s="422"/>
      <c r="B258" s="273"/>
      <c r="C258" s="45"/>
      <c r="D258" s="34"/>
      <c r="E258" s="34"/>
      <c r="F258" s="34"/>
      <c r="G258" s="34"/>
      <c r="H258" s="34"/>
      <c r="I258" s="34"/>
      <c r="J258" s="34"/>
      <c r="K258" s="34"/>
      <c r="L258" s="34"/>
      <c r="M258" s="345">
        <f>SUM(P249:P256)</f>
        <v>0</v>
      </c>
      <c r="N258" s="62"/>
      <c r="O258" s="155">
        <f>IF(M258&gt;=80,80,IF(M258&gt;=50,50,IF(M258&gt;=30,30,0)))</f>
        <v>0</v>
      </c>
      <c r="P258" s="63" t="s">
        <v>109</v>
      </c>
      <c r="Q258" s="432"/>
    </row>
    <row r="259" spans="1:17" x14ac:dyDescent="0.25">
      <c r="A259" s="422"/>
      <c r="B259" s="273"/>
      <c r="C259" s="64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6"/>
      <c r="Q259" s="432"/>
    </row>
    <row r="260" spans="1:17" x14ac:dyDescent="0.25">
      <c r="A260" s="422"/>
      <c r="B260" s="273"/>
      <c r="C260" s="274"/>
      <c r="D260" s="274"/>
      <c r="E260" s="274"/>
      <c r="F260" s="274"/>
      <c r="G260" s="275"/>
      <c r="H260" s="274"/>
      <c r="I260" s="274"/>
      <c r="J260" s="274"/>
      <c r="K260" s="274"/>
      <c r="L260" s="274"/>
      <c r="M260" s="274"/>
      <c r="N260" s="274"/>
      <c r="O260" s="274"/>
      <c r="P260" s="274"/>
      <c r="Q260" s="432"/>
    </row>
    <row r="261" spans="1:17" x14ac:dyDescent="0.25">
      <c r="A261" s="422"/>
      <c r="B261" s="273"/>
      <c r="C261" s="41"/>
      <c r="D261" s="118" t="s">
        <v>57</v>
      </c>
      <c r="E261" s="118"/>
      <c r="F261" s="118"/>
      <c r="G261" s="173"/>
      <c r="H261" s="43"/>
      <c r="I261" s="43"/>
      <c r="J261" s="43"/>
      <c r="K261" s="43"/>
      <c r="L261" s="43"/>
      <c r="M261" s="43"/>
      <c r="N261" s="43"/>
      <c r="O261" s="43"/>
      <c r="P261" s="44"/>
      <c r="Q261" s="432"/>
    </row>
    <row r="262" spans="1:17" x14ac:dyDescent="0.25">
      <c r="A262" s="422"/>
      <c r="B262" s="273"/>
      <c r="C262" s="45"/>
      <c r="D262" s="54" t="s">
        <v>225</v>
      </c>
      <c r="E262" s="54"/>
      <c r="F262" s="54"/>
      <c r="G262" s="54"/>
      <c r="H262" s="54"/>
      <c r="I262" s="202"/>
      <c r="J262" s="179"/>
      <c r="K262" s="179"/>
      <c r="L262" s="34"/>
      <c r="M262" s="34"/>
      <c r="N262" s="179"/>
      <c r="O262" s="347"/>
      <c r="P262" s="371">
        <f>IF(I262="Oui",30,0)</f>
        <v>0</v>
      </c>
      <c r="Q262" s="441"/>
    </row>
    <row r="263" spans="1:17" x14ac:dyDescent="0.25">
      <c r="A263" s="422"/>
      <c r="B263" s="273"/>
      <c r="C263" s="45"/>
      <c r="D263" s="54" t="s">
        <v>226</v>
      </c>
      <c r="E263" s="54"/>
      <c r="F263" s="54"/>
      <c r="G263" s="54"/>
      <c r="H263" s="54"/>
      <c r="I263" s="54"/>
      <c r="J263" s="54"/>
      <c r="K263" s="54"/>
      <c r="L263" s="202"/>
      <c r="M263" s="119"/>
      <c r="N263" s="62"/>
      <c r="O263" s="347"/>
      <c r="P263" s="371">
        <f>IF(L263="Oui",30,0)</f>
        <v>0</v>
      </c>
      <c r="Q263" s="441"/>
    </row>
    <row r="264" spans="1:17" x14ac:dyDescent="0.25">
      <c r="A264" s="422"/>
      <c r="B264" s="273"/>
      <c r="C264" s="45"/>
      <c r="D264" s="120"/>
      <c r="E264" s="120"/>
      <c r="F264" s="120"/>
      <c r="G264" s="120"/>
      <c r="H264" s="120"/>
      <c r="I264" s="120"/>
      <c r="J264" s="120"/>
      <c r="K264" s="120"/>
      <c r="L264" s="120"/>
      <c r="M264" s="119"/>
      <c r="N264" s="62"/>
      <c r="O264" s="347"/>
      <c r="P264" s="371"/>
      <c r="Q264" s="441"/>
    </row>
    <row r="265" spans="1:17" x14ac:dyDescent="0.25">
      <c r="A265" s="422"/>
      <c r="B265" s="273"/>
      <c r="C265" s="45"/>
      <c r="D265" s="54" t="s">
        <v>110</v>
      </c>
      <c r="E265" s="54"/>
      <c r="F265" s="54"/>
      <c r="G265" s="54"/>
      <c r="H265" s="54"/>
      <c r="I265" s="54"/>
      <c r="J265" s="54"/>
      <c r="K265" s="34" t="s">
        <v>60</v>
      </c>
      <c r="L265" s="34"/>
      <c r="M265" s="34"/>
      <c r="N265" s="179"/>
      <c r="O265" s="372" t="b">
        <v>0</v>
      </c>
      <c r="P265" s="371">
        <f>IF(O265,10,0)</f>
        <v>0</v>
      </c>
      <c r="Q265" s="441"/>
    </row>
    <row r="266" spans="1:17" x14ac:dyDescent="0.25">
      <c r="A266" s="422"/>
      <c r="B266" s="273"/>
      <c r="C266" s="45"/>
      <c r="D266" s="210" t="s">
        <v>257</v>
      </c>
      <c r="E266" s="210"/>
      <c r="F266" s="34"/>
      <c r="G266" s="34"/>
      <c r="H266" s="34"/>
      <c r="I266" s="34"/>
      <c r="J266" s="34"/>
      <c r="K266" s="34" t="s">
        <v>162</v>
      </c>
      <c r="L266" s="34"/>
      <c r="M266" s="34"/>
      <c r="N266" s="180"/>
      <c r="O266" s="372" t="b">
        <v>0</v>
      </c>
      <c r="P266" s="371">
        <f>IF(O266,20,0)</f>
        <v>0</v>
      </c>
      <c r="Q266" s="441"/>
    </row>
    <row r="267" spans="1:17" x14ac:dyDescent="0.25">
      <c r="A267" s="422"/>
      <c r="B267" s="273"/>
      <c r="C267" s="45"/>
      <c r="D267" s="210" t="s">
        <v>224</v>
      </c>
      <c r="E267" s="210"/>
      <c r="F267" s="34"/>
      <c r="G267" s="34"/>
      <c r="H267" s="34"/>
      <c r="I267" s="34"/>
      <c r="J267" s="34"/>
      <c r="K267" s="34" t="s">
        <v>168</v>
      </c>
      <c r="L267" s="34"/>
      <c r="M267" s="34"/>
      <c r="N267" s="180"/>
      <c r="O267" s="372" t="b">
        <v>0</v>
      </c>
      <c r="P267" s="371">
        <f>IF(O267,10,0)</f>
        <v>0</v>
      </c>
      <c r="Q267" s="441"/>
    </row>
    <row r="268" spans="1:17" x14ac:dyDescent="0.25">
      <c r="A268" s="422"/>
      <c r="B268" s="273"/>
      <c r="C268" s="45"/>
      <c r="D268" s="34"/>
      <c r="E268" s="210"/>
      <c r="F268" s="34"/>
      <c r="G268" s="34"/>
      <c r="H268" s="34"/>
      <c r="I268" s="34"/>
      <c r="J268" s="34"/>
      <c r="K268" s="34" t="s">
        <v>58</v>
      </c>
      <c r="L268" s="34"/>
      <c r="M268" s="34"/>
      <c r="N268" s="179"/>
      <c r="O268" s="372" t="b">
        <v>0</v>
      </c>
      <c r="P268" s="371">
        <f>IF(O268,10,0)</f>
        <v>0</v>
      </c>
      <c r="Q268" s="441"/>
    </row>
    <row r="269" spans="1:17" x14ac:dyDescent="0.25">
      <c r="A269" s="422"/>
      <c r="B269" s="273"/>
      <c r="C269" s="45"/>
      <c r="D269" s="34"/>
      <c r="E269" s="34"/>
      <c r="F269" s="34"/>
      <c r="G269" s="34"/>
      <c r="H269" s="34"/>
      <c r="I269" s="34"/>
      <c r="J269" s="34"/>
      <c r="K269" s="34" t="s">
        <v>59</v>
      </c>
      <c r="L269" s="34"/>
      <c r="M269" s="34"/>
      <c r="N269" s="179"/>
      <c r="O269" s="372" t="b">
        <v>0</v>
      </c>
      <c r="P269" s="371">
        <f>IF(O269,10,0)</f>
        <v>0</v>
      </c>
      <c r="Q269" s="441"/>
    </row>
    <row r="270" spans="1:17" x14ac:dyDescent="0.25">
      <c r="A270" s="422"/>
      <c r="B270" s="273"/>
      <c r="C270" s="45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179"/>
      <c r="O270" s="376"/>
      <c r="P270" s="371"/>
      <c r="Q270" s="441"/>
    </row>
    <row r="271" spans="1:17" x14ac:dyDescent="0.25">
      <c r="A271" s="422"/>
      <c r="B271" s="273"/>
      <c r="C271" s="45"/>
      <c r="D271" s="480" t="s">
        <v>130</v>
      </c>
      <c r="E271" s="480"/>
      <c r="F271" s="480"/>
      <c r="G271" s="480"/>
      <c r="H271" s="480"/>
      <c r="I271" s="480"/>
      <c r="J271" s="480"/>
      <c r="K271" s="480"/>
      <c r="L271" s="480"/>
      <c r="M271" s="34"/>
      <c r="N271" s="34"/>
      <c r="O271" s="347"/>
      <c r="P271" s="371"/>
      <c r="Q271" s="441"/>
    </row>
    <row r="272" spans="1:17" x14ac:dyDescent="0.25">
      <c r="A272" s="422"/>
      <c r="B272" s="273"/>
      <c r="C272" s="45"/>
      <c r="D272" s="480"/>
      <c r="E272" s="480"/>
      <c r="F272" s="480"/>
      <c r="G272" s="480"/>
      <c r="H272" s="480"/>
      <c r="I272" s="480"/>
      <c r="J272" s="480"/>
      <c r="K272" s="480"/>
      <c r="L272" s="480"/>
      <c r="M272" s="202"/>
      <c r="N272" s="179"/>
      <c r="O272" s="347"/>
      <c r="P272" s="371">
        <f>IF(M272="Oui",30,0)</f>
        <v>0</v>
      </c>
      <c r="Q272" s="441"/>
    </row>
    <row r="273" spans="1:21" ht="16.5" thickBot="1" x14ac:dyDescent="0.3">
      <c r="A273" s="422"/>
      <c r="B273" s="273"/>
      <c r="C273" s="45"/>
      <c r="D273" s="114"/>
      <c r="E273" s="114"/>
      <c r="F273" s="114"/>
      <c r="G273" s="114"/>
      <c r="H273" s="114"/>
      <c r="I273" s="114"/>
      <c r="J273" s="114"/>
      <c r="K273" s="114"/>
      <c r="L273" s="114"/>
      <c r="M273" s="34"/>
      <c r="N273" s="60"/>
      <c r="O273" s="179"/>
      <c r="P273" s="47"/>
      <c r="Q273" s="432"/>
    </row>
    <row r="274" spans="1:21" ht="16.5" thickBot="1" x14ac:dyDescent="0.3">
      <c r="A274" s="422"/>
      <c r="B274" s="273"/>
      <c r="C274" s="45"/>
      <c r="D274" s="181"/>
      <c r="E274" s="181"/>
      <c r="F274" s="181"/>
      <c r="G274" s="181"/>
      <c r="H274" s="181"/>
      <c r="I274" s="181"/>
      <c r="J274" s="181"/>
      <c r="K274" s="181"/>
      <c r="L274" s="181"/>
      <c r="M274" s="377">
        <f>SUM(P262:P272)</f>
        <v>0</v>
      </c>
      <c r="N274" s="62"/>
      <c r="O274" s="155">
        <f>IF(M274&gt;=80,80,IF(M274&gt;=60,50,IF(M274&gt;=30,30,0)))</f>
        <v>0</v>
      </c>
      <c r="P274" s="63" t="s">
        <v>109</v>
      </c>
      <c r="Q274" s="432"/>
    </row>
    <row r="275" spans="1:21" x14ac:dyDescent="0.25">
      <c r="A275" s="422"/>
      <c r="B275" s="273"/>
      <c r="C275" s="64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6"/>
      <c r="Q275" s="432"/>
    </row>
    <row r="276" spans="1:21" x14ac:dyDescent="0.25">
      <c r="A276" s="422"/>
      <c r="B276" s="271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432"/>
    </row>
    <row r="277" spans="1:21" s="276" customFormat="1" x14ac:dyDescent="0.25">
      <c r="A277" s="430"/>
      <c r="B277" s="277" t="s">
        <v>235</v>
      </c>
      <c r="C277" s="278"/>
      <c r="D277" s="278"/>
      <c r="E277" s="279"/>
      <c r="F277" s="278"/>
      <c r="G277" s="278"/>
      <c r="H277" s="278"/>
      <c r="I277" s="278"/>
      <c r="J277" s="278"/>
      <c r="K277" s="278"/>
      <c r="L277" s="280"/>
      <c r="M277" s="280"/>
      <c r="N277" s="281" t="e">
        <f>IF(O277&gt;181,"Bien",IF(O277&gt;119,"Satisfaisant",IF(O277&gt;89,"à améliorer",IF(O277&gt;31,"Insuffisant",""))))</f>
        <v>#N/A</v>
      </c>
      <c r="O277" s="282" t="e">
        <f>O238+O258+O274</f>
        <v>#N/A</v>
      </c>
      <c r="P277" s="278" t="s">
        <v>109</v>
      </c>
      <c r="Q277" s="442"/>
      <c r="R277" s="338"/>
      <c r="S277" s="338"/>
      <c r="T277" s="338"/>
      <c r="U277" s="338"/>
    </row>
    <row r="278" spans="1:21" x14ac:dyDescent="0.25">
      <c r="A278" s="422"/>
      <c r="C278" s="7"/>
      <c r="D278" s="11"/>
      <c r="E278" s="11"/>
      <c r="F278" s="12"/>
      <c r="G278" s="7"/>
      <c r="H278" s="7"/>
      <c r="I278" s="7"/>
      <c r="J278" s="7"/>
      <c r="K278" s="7"/>
      <c r="L278" s="7"/>
      <c r="M278" s="7"/>
      <c r="N278" s="13"/>
      <c r="O278" s="8"/>
      <c r="P278" s="7"/>
      <c r="Q278" s="432"/>
    </row>
    <row r="279" spans="1:21" x14ac:dyDescent="0.25">
      <c r="A279" s="422"/>
      <c r="B279" s="461" t="s">
        <v>45</v>
      </c>
      <c r="C279" s="461"/>
      <c r="D279" s="461"/>
      <c r="E279" s="461"/>
      <c r="F279" s="461"/>
      <c r="G279" s="461"/>
      <c r="H279" s="461"/>
      <c r="I279" s="461"/>
      <c r="J279" s="461"/>
      <c r="K279" s="461"/>
      <c r="L279" s="461"/>
      <c r="M279" s="461"/>
      <c r="N279" s="461"/>
      <c r="O279" s="461"/>
      <c r="P279" s="461"/>
      <c r="Q279" s="432"/>
    </row>
    <row r="280" spans="1:21" x14ac:dyDescent="0.25">
      <c r="A280" s="422"/>
      <c r="B280" s="461"/>
      <c r="C280" s="461"/>
      <c r="D280" s="461"/>
      <c r="E280" s="461"/>
      <c r="F280" s="461"/>
      <c r="G280" s="461"/>
      <c r="H280" s="461"/>
      <c r="I280" s="461"/>
      <c r="J280" s="461"/>
      <c r="K280" s="461"/>
      <c r="L280" s="461"/>
      <c r="M280" s="461"/>
      <c r="N280" s="461"/>
      <c r="O280" s="461"/>
      <c r="P280" s="461"/>
      <c r="Q280" s="432"/>
    </row>
    <row r="281" spans="1:21" x14ac:dyDescent="0.25">
      <c r="A281" s="422"/>
      <c r="B281" s="291"/>
      <c r="C281" s="41"/>
      <c r="D281" s="71" t="s">
        <v>61</v>
      </c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4"/>
      <c r="Q281" s="432"/>
    </row>
    <row r="282" spans="1:21" x14ac:dyDescent="0.25">
      <c r="A282" s="422"/>
      <c r="B282" s="291"/>
      <c r="C282" s="45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47"/>
      <c r="Q282" s="432"/>
    </row>
    <row r="283" spans="1:21" x14ac:dyDescent="0.25">
      <c r="A283" s="422"/>
      <c r="B283" s="291"/>
      <c r="C283" s="45"/>
      <c r="D283" s="54" t="s">
        <v>62</v>
      </c>
      <c r="E283" s="54"/>
      <c r="F283" s="54"/>
      <c r="G283" s="54"/>
      <c r="H283" s="54"/>
      <c r="I283" s="452"/>
      <c r="J283" s="453"/>
      <c r="K283" s="54"/>
      <c r="L283" s="54"/>
      <c r="M283" s="54"/>
      <c r="N283" s="54"/>
      <c r="O283" s="350"/>
      <c r="P283" s="371" t="e">
        <f>VLOOKUP(I283,p_freqpresse,2,FALSE)</f>
        <v>#N/A</v>
      </c>
      <c r="Q283" s="441"/>
    </row>
    <row r="284" spans="1:21" x14ac:dyDescent="0.25">
      <c r="A284" s="422"/>
      <c r="B284" s="291"/>
      <c r="C284" s="45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350"/>
      <c r="P284" s="371"/>
      <c r="Q284" s="441"/>
    </row>
    <row r="285" spans="1:21" x14ac:dyDescent="0.25">
      <c r="A285" s="422"/>
      <c r="B285" s="291"/>
      <c r="C285" s="45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350"/>
      <c r="P285" s="371"/>
      <c r="Q285" s="441"/>
    </row>
    <row r="286" spans="1:21" x14ac:dyDescent="0.25">
      <c r="A286" s="422"/>
      <c r="B286" s="291"/>
      <c r="C286" s="45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350"/>
      <c r="P286" s="371"/>
      <c r="Q286" s="441"/>
    </row>
    <row r="287" spans="1:21" x14ac:dyDescent="0.25">
      <c r="A287" s="422"/>
      <c r="B287" s="291"/>
      <c r="C287" s="45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378"/>
      <c r="P287" s="371"/>
      <c r="Q287" s="441"/>
    </row>
    <row r="288" spans="1:21" x14ac:dyDescent="0.25">
      <c r="A288" s="422"/>
      <c r="B288" s="291"/>
      <c r="C288" s="45"/>
      <c r="D288" s="54" t="s">
        <v>63</v>
      </c>
      <c r="E288" s="54"/>
      <c r="F288" s="54"/>
      <c r="G288" s="54"/>
      <c r="H288" s="54"/>
      <c r="I288" s="54" t="s">
        <v>64</v>
      </c>
      <c r="J288" s="54"/>
      <c r="K288" s="54"/>
      <c r="L288" s="54"/>
      <c r="M288" s="54"/>
      <c r="N288" s="54"/>
      <c r="O288" s="379" t="b">
        <v>0</v>
      </c>
      <c r="P288" s="371">
        <f>IF(O288,10,0)</f>
        <v>0</v>
      </c>
      <c r="Q288" s="441"/>
    </row>
    <row r="289" spans="1:17" x14ac:dyDescent="0.25">
      <c r="A289" s="422"/>
      <c r="B289" s="291"/>
      <c r="C289" s="45"/>
      <c r="D289" s="54" t="s">
        <v>91</v>
      </c>
      <c r="E289" s="54"/>
      <c r="F289" s="54"/>
      <c r="G289" s="54"/>
      <c r="H289" s="54"/>
      <c r="I289" s="54" t="s">
        <v>258</v>
      </c>
      <c r="J289" s="54"/>
      <c r="K289" s="54"/>
      <c r="L289" s="54"/>
      <c r="M289" s="54"/>
      <c r="N289" s="54"/>
      <c r="O289" s="379" t="b">
        <v>0</v>
      </c>
      <c r="P289" s="371">
        <f>IF(O289,30,0)</f>
        <v>0</v>
      </c>
      <c r="Q289" s="441"/>
    </row>
    <row r="290" spans="1:17" x14ac:dyDescent="0.25">
      <c r="A290" s="422"/>
      <c r="B290" s="291"/>
      <c r="C290" s="45"/>
      <c r="D290" s="54"/>
      <c r="E290" s="54"/>
      <c r="F290" s="54"/>
      <c r="G290" s="54"/>
      <c r="H290" s="54"/>
      <c r="I290" s="54" t="s">
        <v>169</v>
      </c>
      <c r="J290" s="54"/>
      <c r="K290" s="54"/>
      <c r="L290" s="54"/>
      <c r="M290" s="54"/>
      <c r="N290" s="54"/>
      <c r="O290" s="379" t="b">
        <v>0</v>
      </c>
      <c r="P290" s="371">
        <f>IF(O290,10,0)</f>
        <v>0</v>
      </c>
      <c r="Q290" s="441"/>
    </row>
    <row r="291" spans="1:17" x14ac:dyDescent="0.25">
      <c r="A291" s="422"/>
      <c r="B291" s="291"/>
      <c r="C291" s="45"/>
      <c r="D291" s="54"/>
      <c r="E291" s="54"/>
      <c r="F291" s="54"/>
      <c r="G291" s="54"/>
      <c r="H291" s="54"/>
      <c r="I291" s="54" t="s">
        <v>80</v>
      </c>
      <c r="J291" s="54"/>
      <c r="K291" s="54"/>
      <c r="L291" s="54"/>
      <c r="M291" s="54"/>
      <c r="N291" s="54"/>
      <c r="O291" s="379" t="b">
        <v>0</v>
      </c>
      <c r="P291" s="371">
        <f>IF(O291,10,0)</f>
        <v>0</v>
      </c>
      <c r="Q291" s="441"/>
    </row>
    <row r="292" spans="1:17" x14ac:dyDescent="0.25">
      <c r="A292" s="422"/>
      <c r="B292" s="291"/>
      <c r="C292" s="45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350"/>
      <c r="P292" s="371"/>
      <c r="Q292" s="441"/>
    </row>
    <row r="293" spans="1:17" x14ac:dyDescent="0.25">
      <c r="A293" s="422"/>
      <c r="B293" s="291"/>
      <c r="C293" s="45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350"/>
      <c r="P293" s="371"/>
      <c r="Q293" s="441"/>
    </row>
    <row r="294" spans="1:17" x14ac:dyDescent="0.25">
      <c r="A294" s="422"/>
      <c r="B294" s="291"/>
      <c r="C294" s="45"/>
      <c r="D294" s="182" t="s">
        <v>227</v>
      </c>
      <c r="E294" s="182"/>
      <c r="F294" s="182"/>
      <c r="G294" s="182"/>
      <c r="H294" s="475"/>
      <c r="I294" s="467"/>
      <c r="J294" s="467"/>
      <c r="K294" s="467"/>
      <c r="L294" s="467"/>
      <c r="M294" s="467"/>
      <c r="N294" s="467"/>
      <c r="O294" s="468"/>
      <c r="P294" s="47"/>
      <c r="Q294" s="432"/>
    </row>
    <row r="295" spans="1:17" ht="16.5" thickBot="1" x14ac:dyDescent="0.3">
      <c r="A295" s="422"/>
      <c r="B295" s="291"/>
      <c r="C295" s="45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47"/>
      <c r="Q295" s="432"/>
    </row>
    <row r="296" spans="1:17" ht="16.5" thickBot="1" x14ac:dyDescent="0.3">
      <c r="A296" s="422"/>
      <c r="B296" s="291"/>
      <c r="C296" s="45"/>
      <c r="D296" s="34"/>
      <c r="E296" s="34"/>
      <c r="F296" s="34"/>
      <c r="G296" s="34"/>
      <c r="H296" s="34"/>
      <c r="I296" s="34"/>
      <c r="J296" s="34"/>
      <c r="K296" s="34"/>
      <c r="L296" s="34"/>
      <c r="M296" s="345" t="e">
        <f>SUM(P283:P291)</f>
        <v>#N/A</v>
      </c>
      <c r="N296" s="62"/>
      <c r="O296" s="155" t="e">
        <f>IF(M296&gt;=70,60,IF(M296&gt;=50,40,IF(M296&gt;=20,20,0)))</f>
        <v>#N/A</v>
      </c>
      <c r="P296" s="63" t="s">
        <v>109</v>
      </c>
      <c r="Q296" s="432"/>
    </row>
    <row r="297" spans="1:17" x14ac:dyDescent="0.25">
      <c r="A297" s="422"/>
      <c r="B297" s="291"/>
      <c r="C297" s="64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6"/>
      <c r="Q297" s="432"/>
    </row>
    <row r="298" spans="1:17" x14ac:dyDescent="0.25">
      <c r="A298" s="422"/>
      <c r="B298" s="291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432"/>
    </row>
    <row r="299" spans="1:17" x14ac:dyDescent="0.25">
      <c r="A299" s="422"/>
      <c r="B299" s="291"/>
      <c r="C299" s="41"/>
      <c r="D299" s="212" t="s">
        <v>65</v>
      </c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4"/>
      <c r="Q299" s="432"/>
    </row>
    <row r="300" spans="1:17" x14ac:dyDescent="0.25">
      <c r="A300" s="422"/>
      <c r="B300" s="291"/>
      <c r="C300" s="45"/>
      <c r="D300" s="125"/>
      <c r="E300" s="34"/>
      <c r="F300" s="123"/>
      <c r="G300" s="34"/>
      <c r="H300" s="34"/>
      <c r="I300" s="34"/>
      <c r="J300" s="34"/>
      <c r="K300" s="34"/>
      <c r="L300" s="34"/>
      <c r="M300" s="34"/>
      <c r="N300" s="34"/>
      <c r="O300" s="34"/>
      <c r="P300" s="47"/>
      <c r="Q300" s="432"/>
    </row>
    <row r="301" spans="1:17" x14ac:dyDescent="0.25">
      <c r="A301" s="422"/>
      <c r="B301" s="291"/>
      <c r="C301" s="45"/>
      <c r="D301" s="126" t="s">
        <v>228</v>
      </c>
      <c r="E301" s="126"/>
      <c r="F301" s="126"/>
      <c r="G301" s="126"/>
      <c r="H301" s="126"/>
      <c r="I301" s="126"/>
      <c r="J301" s="34"/>
      <c r="K301" s="34"/>
      <c r="L301" s="34"/>
      <c r="M301" s="179"/>
      <c r="N301" s="183"/>
      <c r="O301" s="183"/>
      <c r="P301" s="47"/>
      <c r="Q301" s="432"/>
    </row>
    <row r="302" spans="1:17" x14ac:dyDescent="0.25">
      <c r="A302" s="422"/>
      <c r="B302" s="291"/>
      <c r="C302" s="45"/>
      <c r="D302" s="126"/>
      <c r="E302" s="126"/>
      <c r="F302" s="126"/>
      <c r="G302" s="126"/>
      <c r="H302" s="126"/>
      <c r="I302" s="126"/>
      <c r="J302" s="34"/>
      <c r="K302" s="34"/>
      <c r="L302" s="452"/>
      <c r="M302" s="453"/>
      <c r="N302" s="183"/>
      <c r="O302" s="367"/>
      <c r="P302" s="371" t="e">
        <f>VLOOKUP(L302,p_freqcomite,2,FALSE)</f>
        <v>#N/A</v>
      </c>
      <c r="Q302" s="441"/>
    </row>
    <row r="303" spans="1:17" x14ac:dyDescent="0.25">
      <c r="A303" s="422"/>
      <c r="B303" s="291"/>
      <c r="C303" s="45"/>
      <c r="D303" s="126"/>
      <c r="E303" s="126"/>
      <c r="F303" s="115"/>
      <c r="G303" s="126"/>
      <c r="H303" s="126"/>
      <c r="I303" s="126"/>
      <c r="J303" s="34"/>
      <c r="K303" s="115"/>
      <c r="L303" s="54"/>
      <c r="M303" s="183"/>
      <c r="N303" s="183"/>
      <c r="O303" s="367"/>
      <c r="P303" s="371"/>
      <c r="Q303" s="441"/>
    </row>
    <row r="304" spans="1:17" x14ac:dyDescent="0.25">
      <c r="A304" s="422"/>
      <c r="B304" s="291"/>
      <c r="C304" s="45"/>
      <c r="D304" s="126"/>
      <c r="E304" s="126"/>
      <c r="F304" s="126"/>
      <c r="G304" s="126"/>
      <c r="H304" s="126"/>
      <c r="I304" s="126"/>
      <c r="J304" s="34"/>
      <c r="K304" s="115"/>
      <c r="L304" s="54"/>
      <c r="M304" s="116"/>
      <c r="N304" s="183"/>
      <c r="O304" s="367"/>
      <c r="P304" s="371"/>
      <c r="Q304" s="441"/>
    </row>
    <row r="305" spans="1:17" x14ac:dyDescent="0.25">
      <c r="A305" s="422"/>
      <c r="B305" s="291"/>
      <c r="C305" s="45"/>
      <c r="D305" s="34"/>
      <c r="E305" s="34"/>
      <c r="F305" s="34"/>
      <c r="G305" s="34"/>
      <c r="H305" s="34"/>
      <c r="I305" s="34"/>
      <c r="J305" s="34"/>
      <c r="K305" s="34"/>
      <c r="L305" s="34"/>
      <c r="M305" s="179"/>
      <c r="N305" s="179"/>
      <c r="O305" s="367"/>
      <c r="P305" s="371"/>
      <c r="Q305" s="441"/>
    </row>
    <row r="306" spans="1:17" x14ac:dyDescent="0.25">
      <c r="A306" s="422"/>
      <c r="B306" s="291"/>
      <c r="C306" s="45"/>
      <c r="D306" s="502" t="s">
        <v>229</v>
      </c>
      <c r="E306" s="502"/>
      <c r="F306" s="502"/>
      <c r="G306" s="502"/>
      <c r="H306" s="502"/>
      <c r="I306" s="502"/>
      <c r="J306" s="502"/>
      <c r="K306" s="502"/>
      <c r="L306" s="452"/>
      <c r="M306" s="453"/>
      <c r="N306" s="183"/>
      <c r="O306" s="367"/>
      <c r="P306" s="371" t="e">
        <f>VLOOKUP(L306,p_freqcomite,3,FALSE)</f>
        <v>#N/A</v>
      </c>
      <c r="Q306" s="441"/>
    </row>
    <row r="307" spans="1:17" x14ac:dyDescent="0.25">
      <c r="A307" s="422"/>
      <c r="B307" s="291"/>
      <c r="C307" s="45"/>
      <c r="D307" s="182"/>
      <c r="E307" s="182"/>
      <c r="F307" s="115"/>
      <c r="G307" s="182"/>
      <c r="H307" s="182"/>
      <c r="I307" s="182"/>
      <c r="J307" s="182"/>
      <c r="K307" s="34"/>
      <c r="L307" s="34"/>
      <c r="M307" s="116"/>
      <c r="N307" s="183"/>
      <c r="O307" s="367"/>
      <c r="P307" s="371"/>
      <c r="Q307" s="441"/>
    </row>
    <row r="308" spans="1:17" x14ac:dyDescent="0.25">
      <c r="A308" s="422"/>
      <c r="B308" s="291"/>
      <c r="C308" s="45"/>
      <c r="D308" s="182"/>
      <c r="E308" s="182"/>
      <c r="F308" s="182"/>
      <c r="G308" s="182"/>
      <c r="H308" s="182"/>
      <c r="I308" s="182"/>
      <c r="J308" s="182"/>
      <c r="K308" s="182"/>
      <c r="L308" s="34"/>
      <c r="M308" s="183"/>
      <c r="N308" s="183"/>
      <c r="O308" s="367"/>
      <c r="P308" s="371"/>
      <c r="Q308" s="441"/>
    </row>
    <row r="309" spans="1:17" x14ac:dyDescent="0.25">
      <c r="A309" s="422"/>
      <c r="B309" s="291"/>
      <c r="C309" s="45"/>
      <c r="D309" s="182"/>
      <c r="E309" s="182"/>
      <c r="F309" s="182"/>
      <c r="G309" s="182"/>
      <c r="H309" s="182"/>
      <c r="I309" s="182"/>
      <c r="J309" s="182"/>
      <c r="K309" s="182"/>
      <c r="L309" s="34"/>
      <c r="M309" s="116"/>
      <c r="N309" s="183"/>
      <c r="O309" s="367"/>
      <c r="P309" s="371"/>
      <c r="Q309" s="441"/>
    </row>
    <row r="310" spans="1:17" x14ac:dyDescent="0.25">
      <c r="A310" s="422"/>
      <c r="B310" s="291"/>
      <c r="C310" s="45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76"/>
      <c r="P310" s="371"/>
      <c r="Q310" s="441"/>
    </row>
    <row r="311" spans="1:17" x14ac:dyDescent="0.25">
      <c r="A311" s="422"/>
      <c r="B311" s="291"/>
      <c r="C311" s="45"/>
      <c r="D311" s="182" t="s">
        <v>230</v>
      </c>
      <c r="E311" s="34"/>
      <c r="F311" s="34"/>
      <c r="G311" s="34"/>
      <c r="H311" s="34"/>
      <c r="I311" s="34"/>
      <c r="J311" s="34"/>
      <c r="K311" s="34"/>
      <c r="L311" s="34" t="s">
        <v>66</v>
      </c>
      <c r="M311" s="179"/>
      <c r="N311" s="179"/>
      <c r="O311" s="372" t="b">
        <v>0</v>
      </c>
      <c r="P311" s="371">
        <f>IF(O311,40,0)</f>
        <v>0</v>
      </c>
      <c r="Q311" s="441"/>
    </row>
    <row r="312" spans="1:17" x14ac:dyDescent="0.25">
      <c r="A312" s="422"/>
      <c r="B312" s="291"/>
      <c r="C312" s="45"/>
      <c r="D312" s="34"/>
      <c r="E312" s="182"/>
      <c r="F312" s="115"/>
      <c r="G312" s="182"/>
      <c r="H312" s="182"/>
      <c r="I312" s="182"/>
      <c r="J312" s="34"/>
      <c r="K312" s="34"/>
      <c r="L312" s="34" t="s">
        <v>67</v>
      </c>
      <c r="M312" s="34"/>
      <c r="N312" s="179"/>
      <c r="O312" s="372" t="b">
        <v>0</v>
      </c>
      <c r="P312" s="371">
        <f>IF(O312,10,0)</f>
        <v>0</v>
      </c>
      <c r="Q312" s="441"/>
    </row>
    <row r="313" spans="1:17" ht="16.5" thickBot="1" x14ac:dyDescent="0.3">
      <c r="A313" s="422"/>
      <c r="B313" s="291"/>
      <c r="C313" s="45"/>
      <c r="D313" s="70"/>
      <c r="E313" s="70"/>
      <c r="F313" s="70"/>
      <c r="G313" s="70"/>
      <c r="H313" s="70"/>
      <c r="I313" s="70"/>
      <c r="J313" s="123"/>
      <c r="K313" s="32"/>
      <c r="L313" s="32"/>
      <c r="M313" s="60"/>
      <c r="N313" s="60"/>
      <c r="O313" s="54"/>
      <c r="P313" s="47"/>
      <c r="Q313" s="432"/>
    </row>
    <row r="314" spans="1:17" ht="16.5" thickBot="1" x14ac:dyDescent="0.3">
      <c r="A314" s="422"/>
      <c r="B314" s="291"/>
      <c r="C314" s="45"/>
      <c r="D314" s="182"/>
      <c r="E314" s="182"/>
      <c r="F314" s="182"/>
      <c r="G314" s="182"/>
      <c r="H314" s="182"/>
      <c r="I314" s="182"/>
      <c r="J314" s="182"/>
      <c r="K314" s="182"/>
      <c r="L314" s="182"/>
      <c r="M314" s="370" t="e">
        <f>SUM(P302:P312)</f>
        <v>#N/A</v>
      </c>
      <c r="N314" s="62"/>
      <c r="O314" s="155" t="e">
        <f>IF(M314&gt;=120,60,IF(M314&gt;=70,40,IF(M314&gt;=50,20,0)))</f>
        <v>#N/A</v>
      </c>
      <c r="P314" s="63" t="s">
        <v>109</v>
      </c>
      <c r="Q314" s="432"/>
    </row>
    <row r="315" spans="1:17" x14ac:dyDescent="0.25">
      <c r="A315" s="422"/>
      <c r="B315" s="291"/>
      <c r="C315" s="64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6"/>
      <c r="Q315" s="432"/>
    </row>
    <row r="316" spans="1:17" x14ac:dyDescent="0.25">
      <c r="A316" s="422"/>
      <c r="B316" s="291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432"/>
    </row>
    <row r="317" spans="1:17" x14ac:dyDescent="0.25">
      <c r="A317" s="422"/>
      <c r="B317" s="291"/>
      <c r="C317" s="41"/>
      <c r="D317" s="71" t="s">
        <v>68</v>
      </c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4"/>
      <c r="Q317" s="432"/>
    </row>
    <row r="318" spans="1:17" x14ac:dyDescent="0.25">
      <c r="A318" s="422"/>
      <c r="B318" s="291"/>
      <c r="C318" s="45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47"/>
      <c r="Q318" s="432"/>
    </row>
    <row r="319" spans="1:17" x14ac:dyDescent="0.25">
      <c r="A319" s="422"/>
      <c r="B319" s="291"/>
      <c r="C319" s="45"/>
      <c r="D319" s="54" t="s">
        <v>231</v>
      </c>
      <c r="E319" s="54"/>
      <c r="F319" s="54"/>
      <c r="G319" s="54"/>
      <c r="H319" s="54"/>
      <c r="I319" s="54"/>
      <c r="J319" s="54"/>
      <c r="K319" s="54"/>
      <c r="L319" s="202"/>
      <c r="M319" s="54"/>
      <c r="N319" s="54"/>
      <c r="O319" s="350"/>
      <c r="P319" s="371">
        <f>IF(L319="Oui",30,0)</f>
        <v>0</v>
      </c>
      <c r="Q319" s="441"/>
    </row>
    <row r="320" spans="1:17" x14ac:dyDescent="0.25">
      <c r="A320" s="422"/>
      <c r="B320" s="291"/>
      <c r="C320" s="45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376"/>
      <c r="P320" s="371"/>
      <c r="Q320" s="441"/>
    </row>
    <row r="321" spans="1:21" x14ac:dyDescent="0.25">
      <c r="A321" s="422"/>
      <c r="B321" s="291"/>
      <c r="C321" s="45"/>
      <c r="D321" s="54" t="s">
        <v>69</v>
      </c>
      <c r="E321" s="54"/>
      <c r="F321" s="54"/>
      <c r="G321" s="54"/>
      <c r="H321" s="54"/>
      <c r="I321" s="54" t="s">
        <v>147</v>
      </c>
      <c r="J321" s="54"/>
      <c r="K321" s="54"/>
      <c r="L321" s="54"/>
      <c r="M321" s="54"/>
      <c r="N321" s="54"/>
      <c r="O321" s="372" t="b">
        <v>0</v>
      </c>
      <c r="P321" s="371">
        <f>IF(O321,10,0)</f>
        <v>0</v>
      </c>
      <c r="Q321" s="441"/>
    </row>
    <row r="322" spans="1:21" x14ac:dyDescent="0.25">
      <c r="A322" s="422"/>
      <c r="B322" s="291"/>
      <c r="C322" s="45"/>
      <c r="D322" s="54"/>
      <c r="E322" s="54"/>
      <c r="F322" s="54"/>
      <c r="G322" s="54"/>
      <c r="H322" s="54"/>
      <c r="I322" s="54" t="s">
        <v>106</v>
      </c>
      <c r="J322" s="54"/>
      <c r="K322" s="54"/>
      <c r="L322" s="54"/>
      <c r="M322" s="54"/>
      <c r="N322" s="54"/>
      <c r="O322" s="372" t="b">
        <v>0</v>
      </c>
      <c r="P322" s="371">
        <f>IF(O322,10,0)</f>
        <v>0</v>
      </c>
      <c r="Q322" s="441"/>
    </row>
    <row r="323" spans="1:21" x14ac:dyDescent="0.25">
      <c r="A323" s="422"/>
      <c r="B323" s="291"/>
      <c r="C323" s="45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47"/>
      <c r="Q323" s="432"/>
    </row>
    <row r="324" spans="1:21" x14ac:dyDescent="0.25">
      <c r="A324" s="422"/>
      <c r="B324" s="291"/>
      <c r="C324" s="45"/>
      <c r="D324" s="54" t="s">
        <v>70</v>
      </c>
      <c r="E324" s="54"/>
      <c r="F324" s="54"/>
      <c r="G324" s="54"/>
      <c r="H324" s="54"/>
      <c r="I324" s="54"/>
      <c r="J324" s="54" t="s">
        <v>232</v>
      </c>
      <c r="K324" s="54"/>
      <c r="L324" s="54"/>
      <c r="M324" s="54"/>
      <c r="N324" s="54"/>
      <c r="O324" s="54"/>
      <c r="P324" s="47"/>
      <c r="Q324" s="432"/>
    </row>
    <row r="325" spans="1:21" x14ac:dyDescent="0.25">
      <c r="A325" s="422"/>
      <c r="B325" s="291"/>
      <c r="C325" s="45"/>
      <c r="D325" s="54"/>
      <c r="E325" s="54"/>
      <c r="F325" s="475"/>
      <c r="G325" s="467"/>
      <c r="H325" s="467"/>
      <c r="I325" s="467"/>
      <c r="J325" s="467"/>
      <c r="K325" s="467"/>
      <c r="L325" s="467"/>
      <c r="M325" s="467"/>
      <c r="N325" s="467"/>
      <c r="O325" s="468"/>
      <c r="P325" s="47"/>
      <c r="Q325" s="432"/>
    </row>
    <row r="326" spans="1:21" ht="16.5" thickBot="1" x14ac:dyDescent="0.3">
      <c r="A326" s="422"/>
      <c r="B326" s="291"/>
      <c r="C326" s="45"/>
      <c r="D326" s="34"/>
      <c r="E326" s="34"/>
      <c r="F326" s="34"/>
      <c r="G326" s="34"/>
      <c r="H326" s="34"/>
      <c r="I326" s="34"/>
      <c r="J326" s="180"/>
      <c r="K326" s="180"/>
      <c r="L326" s="180"/>
      <c r="M326" s="180"/>
      <c r="N326" s="180"/>
      <c r="O326" s="180"/>
      <c r="P326" s="47"/>
      <c r="Q326" s="432"/>
    </row>
    <row r="327" spans="1:21" ht="16.5" thickBot="1" x14ac:dyDescent="0.3">
      <c r="A327" s="422"/>
      <c r="B327" s="291"/>
      <c r="C327" s="45"/>
      <c r="D327" s="54"/>
      <c r="E327" s="54"/>
      <c r="F327" s="54"/>
      <c r="G327" s="54"/>
      <c r="H327" s="54"/>
      <c r="I327" s="54"/>
      <c r="J327" s="54"/>
      <c r="K327" s="54"/>
      <c r="L327" s="54"/>
      <c r="M327" s="350">
        <f>SUM(P319:P325)</f>
        <v>0</v>
      </c>
      <c r="N327" s="62"/>
      <c r="O327" s="155">
        <f>IF(M327&gt;=30,40,IF(M327&gt;=20,20,IF(M327&gt;=10,10,0)))</f>
        <v>0</v>
      </c>
      <c r="P327" s="63" t="s">
        <v>109</v>
      </c>
      <c r="Q327" s="432"/>
    </row>
    <row r="328" spans="1:21" x14ac:dyDescent="0.25">
      <c r="A328" s="422"/>
      <c r="B328" s="291"/>
      <c r="C328" s="64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432"/>
    </row>
    <row r="329" spans="1:21" x14ac:dyDescent="0.25">
      <c r="A329" s="422"/>
      <c r="B329" s="293"/>
      <c r="C329" s="294"/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294"/>
      <c r="Q329" s="432"/>
    </row>
    <row r="330" spans="1:21" s="261" customFormat="1" x14ac:dyDescent="0.25">
      <c r="A330" s="431"/>
      <c r="B330" s="299" t="s">
        <v>236</v>
      </c>
      <c r="C330" s="295"/>
      <c r="D330" s="295"/>
      <c r="E330" s="300"/>
      <c r="F330" s="295"/>
      <c r="G330" s="295"/>
      <c r="H330" s="295"/>
      <c r="I330" s="295"/>
      <c r="J330" s="295"/>
      <c r="K330" s="295"/>
      <c r="L330" s="296"/>
      <c r="M330" s="295"/>
      <c r="N330" s="297" t="e">
        <f>IF(O330&gt;139,"Bien",IF(O330&gt;79,"Satisfaisant",IF(O330&gt;29,"à améliorer",IF(O330&gt;21,"Insuffisant",""))))</f>
        <v>#N/A</v>
      </c>
      <c r="O330" s="298" t="e">
        <f>O296+O314+O327</f>
        <v>#N/A</v>
      </c>
      <c r="P330" s="295" t="s">
        <v>109</v>
      </c>
      <c r="Q330" s="443"/>
      <c r="R330" s="339"/>
      <c r="S330" s="339"/>
      <c r="T330" s="339"/>
      <c r="U330" s="339"/>
    </row>
    <row r="331" spans="1:21" s="31" customFormat="1" x14ac:dyDescent="0.25">
      <c r="A331" s="422"/>
      <c r="C331" s="215"/>
      <c r="D331" s="215"/>
      <c r="E331" s="216"/>
      <c r="F331" s="217"/>
      <c r="G331" s="217"/>
      <c r="H331" s="217"/>
      <c r="I331" s="215"/>
      <c r="J331" s="215"/>
      <c r="K331" s="215"/>
      <c r="L331" s="218"/>
      <c r="M331" s="215"/>
      <c r="N331" s="219"/>
      <c r="O331" s="220"/>
      <c r="P331" s="221"/>
      <c r="Q331" s="432"/>
      <c r="R331" s="211"/>
      <c r="S331" s="211"/>
      <c r="T331" s="211"/>
      <c r="U331" s="211"/>
    </row>
    <row r="332" spans="1:21" ht="16.5" thickBot="1" x14ac:dyDescent="0.3">
      <c r="A332" s="422"/>
      <c r="C332" s="32"/>
      <c r="D332" s="32"/>
      <c r="E332" s="128"/>
      <c r="F332" s="128"/>
      <c r="G332" s="128"/>
      <c r="H332" s="128"/>
      <c r="I332" s="32"/>
      <c r="J332" s="32"/>
      <c r="K332" s="32"/>
      <c r="L332" s="32"/>
      <c r="M332" s="32"/>
      <c r="N332" s="129"/>
      <c r="O332" s="127"/>
      <c r="P332" s="32"/>
      <c r="Q332" s="432"/>
    </row>
    <row r="333" spans="1:21" x14ac:dyDescent="0.25">
      <c r="A333" s="422"/>
      <c r="C333" s="32"/>
      <c r="D333" s="32"/>
      <c r="E333" s="546" t="s">
        <v>94</v>
      </c>
      <c r="F333" s="547"/>
      <c r="G333" s="547"/>
      <c r="H333" s="547"/>
      <c r="I333" s="547"/>
      <c r="J333" s="547"/>
      <c r="K333" s="547"/>
      <c r="L333" s="547"/>
      <c r="M333" s="547"/>
      <c r="N333" s="548"/>
      <c r="O333" s="127"/>
      <c r="P333" s="32"/>
      <c r="Q333" s="432"/>
    </row>
    <row r="334" spans="1:21" x14ac:dyDescent="0.25">
      <c r="A334" s="422"/>
      <c r="C334" s="32"/>
      <c r="D334" s="32"/>
      <c r="E334" s="130"/>
      <c r="F334" s="124"/>
      <c r="G334" s="124"/>
      <c r="H334" s="124"/>
      <c r="I334" s="124"/>
      <c r="J334" s="124"/>
      <c r="K334" s="124"/>
      <c r="L334" s="124"/>
      <c r="M334" s="124"/>
      <c r="N334" s="131"/>
      <c r="O334" s="127"/>
      <c r="P334" s="32"/>
      <c r="Q334" s="432"/>
    </row>
    <row r="335" spans="1:21" ht="20.25" x14ac:dyDescent="0.3">
      <c r="A335" s="422"/>
      <c r="C335" s="32"/>
      <c r="D335" s="32"/>
      <c r="E335" s="543" t="str">
        <f>IF(F9="","",F9)</f>
        <v/>
      </c>
      <c r="F335" s="544"/>
      <c r="G335" s="544"/>
      <c r="H335" s="544"/>
      <c r="I335" s="544"/>
      <c r="J335" s="544"/>
      <c r="K335" s="544"/>
      <c r="L335" s="544"/>
      <c r="M335" s="544"/>
      <c r="N335" s="545"/>
      <c r="O335" s="127"/>
      <c r="P335" s="32"/>
      <c r="Q335" s="432"/>
    </row>
    <row r="336" spans="1:21" ht="16.5" thickBot="1" x14ac:dyDescent="0.3">
      <c r="A336" s="422"/>
      <c r="C336" s="32"/>
      <c r="D336" s="32"/>
      <c r="E336" s="132"/>
      <c r="F336" s="133"/>
      <c r="G336" s="133"/>
      <c r="H336" s="133"/>
      <c r="I336" s="133"/>
      <c r="J336" s="133"/>
      <c r="K336" s="133"/>
      <c r="L336" s="133"/>
      <c r="M336" s="133"/>
      <c r="N336" s="134"/>
      <c r="O336" s="127"/>
      <c r="P336" s="32"/>
      <c r="Q336" s="432"/>
    </row>
    <row r="337" spans="1:17" x14ac:dyDescent="0.25">
      <c r="A337" s="422"/>
      <c r="C337" s="32"/>
      <c r="D337" s="32"/>
      <c r="E337" s="128"/>
      <c r="F337" s="128"/>
      <c r="G337" s="128"/>
      <c r="H337" s="128"/>
      <c r="I337" s="32"/>
      <c r="J337" s="32"/>
      <c r="K337" s="32"/>
      <c r="L337" s="32"/>
      <c r="M337" s="32"/>
      <c r="N337" s="129"/>
      <c r="O337" s="127"/>
      <c r="P337" s="32"/>
      <c r="Q337" s="432"/>
    </row>
    <row r="338" spans="1:17" ht="16.5" thickBot="1" x14ac:dyDescent="0.3">
      <c r="A338" s="422"/>
      <c r="C338" s="32"/>
      <c r="D338" s="32"/>
      <c r="E338" s="32"/>
      <c r="F338" s="32"/>
      <c r="G338" s="32"/>
      <c r="H338" s="32"/>
      <c r="I338" s="32"/>
      <c r="J338" s="392" t="s">
        <v>23</v>
      </c>
      <c r="K338" s="391" t="s">
        <v>243</v>
      </c>
      <c r="L338" s="393" t="s">
        <v>242</v>
      </c>
      <c r="M338" s="394" t="s">
        <v>241</v>
      </c>
      <c r="N338" s="304" t="s">
        <v>237</v>
      </c>
      <c r="O338" s="304" t="s">
        <v>238</v>
      </c>
      <c r="P338" s="32"/>
      <c r="Q338" s="432"/>
    </row>
    <row r="339" spans="1:17" ht="18.75" thickBot="1" x14ac:dyDescent="0.3">
      <c r="A339" s="422"/>
      <c r="C339" s="32"/>
      <c r="D339" s="305" t="s">
        <v>21</v>
      </c>
      <c r="E339" s="306"/>
      <c r="F339" s="307"/>
      <c r="G339" s="306"/>
      <c r="H339" s="306"/>
      <c r="I339" s="306"/>
      <c r="J339" s="383" t="e">
        <f>IF(N339&gt;241,"J","")</f>
        <v>#N/A</v>
      </c>
      <c r="K339" s="387" t="e">
        <f>IF(AND(N339&lt;=241,N339&gt;179),"J","")</f>
        <v>#N/A</v>
      </c>
      <c r="L339" s="385" t="e">
        <f>IF(AND(N339&lt;=179,N339&gt;79),"K","")</f>
        <v>#N/A</v>
      </c>
      <c r="M339" s="389" t="e">
        <f>IF(N339&lt;=79,"L","")</f>
        <v>#N/A</v>
      </c>
      <c r="N339" s="380" t="e">
        <f>O143</f>
        <v>#N/A</v>
      </c>
      <c r="O339" s="308">
        <v>300</v>
      </c>
      <c r="P339" s="309" t="s">
        <v>109</v>
      </c>
      <c r="Q339" s="432"/>
    </row>
    <row r="340" spans="1:17" ht="18" x14ac:dyDescent="0.25">
      <c r="A340" s="422"/>
      <c r="C340" s="32"/>
      <c r="D340" s="32"/>
      <c r="E340" s="136" t="s">
        <v>240</v>
      </c>
      <c r="F340" s="32"/>
      <c r="G340" s="32"/>
      <c r="H340" s="32"/>
      <c r="I340" s="32"/>
      <c r="J340" s="384" t="e">
        <f>IF(N340=70,"J","")</f>
        <v>#N/A</v>
      </c>
      <c r="K340" s="388" t="e">
        <f>IF(N340=50,"J","")</f>
        <v>#N/A</v>
      </c>
      <c r="L340" s="386" t="e">
        <f>IF(N340=30,"K","")</f>
        <v>#N/A</v>
      </c>
      <c r="M340" s="390" t="e">
        <f>IF(N340&lt;=10,"L","")</f>
        <v>#N/A</v>
      </c>
      <c r="N340" s="301" t="e">
        <f>O89</f>
        <v>#N/A</v>
      </c>
      <c r="O340" s="302">
        <v>70</v>
      </c>
      <c r="P340" s="32"/>
      <c r="Q340" s="432"/>
    </row>
    <row r="341" spans="1:17" ht="18" x14ac:dyDescent="0.25">
      <c r="A341" s="422"/>
      <c r="C341" s="32"/>
      <c r="D341" s="32"/>
      <c r="E341" s="136" t="s">
        <v>163</v>
      </c>
      <c r="F341" s="32"/>
      <c r="G341" s="32"/>
      <c r="H341" s="32"/>
      <c r="I341" s="32"/>
      <c r="J341" s="384" t="str">
        <f>IF(N341=90,"J","")</f>
        <v/>
      </c>
      <c r="K341" s="388" t="str">
        <f>IF(N341=70,"J","")</f>
        <v/>
      </c>
      <c r="L341" s="386" t="str">
        <f>IF(N341=30,"K","")</f>
        <v/>
      </c>
      <c r="M341" s="390" t="str">
        <f>IF(N341&lt;=10,"L","")</f>
        <v>L</v>
      </c>
      <c r="N341" s="301">
        <f>O103</f>
        <v>0</v>
      </c>
      <c r="O341" s="302">
        <v>90</v>
      </c>
      <c r="P341" s="32"/>
      <c r="Q341" s="432"/>
    </row>
    <row r="342" spans="1:17" ht="18" x14ac:dyDescent="0.25">
      <c r="A342" s="422"/>
      <c r="C342" s="32"/>
      <c r="D342" s="32"/>
      <c r="E342" s="136" t="s">
        <v>22</v>
      </c>
      <c r="F342" s="32"/>
      <c r="G342" s="32"/>
      <c r="H342" s="32"/>
      <c r="I342" s="32"/>
      <c r="J342" s="384" t="e">
        <f>IF(N342=70,"J","")</f>
        <v>#N/A</v>
      </c>
      <c r="K342" s="388" t="e">
        <f>IF(N342=50,"J","")</f>
        <v>#N/A</v>
      </c>
      <c r="L342" s="386" t="e">
        <f>IF(N342=30,"K","")</f>
        <v>#N/A</v>
      </c>
      <c r="M342" s="390" t="e">
        <f>IF(N342=10,"L","")</f>
        <v>#N/A</v>
      </c>
      <c r="N342" s="301" t="e">
        <f>O118</f>
        <v>#N/A</v>
      </c>
      <c r="O342" s="302">
        <v>70</v>
      </c>
      <c r="P342" s="32"/>
      <c r="Q342" s="432"/>
    </row>
    <row r="343" spans="1:17" ht="18" x14ac:dyDescent="0.25">
      <c r="A343" s="422"/>
      <c r="C343" s="32"/>
      <c r="D343" s="32"/>
      <c r="E343" s="136" t="s">
        <v>25</v>
      </c>
      <c r="F343" s="32"/>
      <c r="G343" s="32"/>
      <c r="H343" s="32"/>
      <c r="I343" s="32"/>
      <c r="J343" s="384" t="e">
        <f>IF(N343=70,"J","")</f>
        <v>#N/A</v>
      </c>
      <c r="K343" s="388" t="e">
        <f>IF(N343=50,"J","")</f>
        <v>#N/A</v>
      </c>
      <c r="L343" s="386" t="e">
        <f>IF(N343=30,"K","")</f>
        <v>#N/A</v>
      </c>
      <c r="M343" s="390" t="e">
        <f>IF(N343=10,"L","")</f>
        <v>#N/A</v>
      </c>
      <c r="N343" s="301" t="e">
        <f>O140</f>
        <v>#N/A</v>
      </c>
      <c r="O343" s="302">
        <v>70</v>
      </c>
      <c r="P343" s="32"/>
      <c r="Q343" s="432"/>
    </row>
    <row r="344" spans="1:17" ht="18.75" thickBot="1" x14ac:dyDescent="0.3">
      <c r="A344" s="422"/>
      <c r="C344" s="32"/>
      <c r="D344" s="32"/>
      <c r="E344" s="32"/>
      <c r="F344" s="32"/>
      <c r="G344" s="32"/>
      <c r="H344" s="32"/>
      <c r="I344" s="32"/>
      <c r="J344" s="382"/>
      <c r="K344" s="382"/>
      <c r="L344" s="382"/>
      <c r="M344" s="382"/>
      <c r="N344" s="302"/>
      <c r="O344" s="302"/>
      <c r="P344" s="32"/>
      <c r="Q344" s="432"/>
    </row>
    <row r="345" spans="1:17" ht="18.75" thickBot="1" x14ac:dyDescent="0.3">
      <c r="A345" s="422"/>
      <c r="C345" s="32"/>
      <c r="D345" s="310" t="s">
        <v>33</v>
      </c>
      <c r="E345" s="311"/>
      <c r="F345" s="312"/>
      <c r="G345" s="311"/>
      <c r="H345" s="311"/>
      <c r="I345" s="311"/>
      <c r="J345" s="383" t="e">
        <f>IF(N345&gt;340,"J","")</f>
        <v>#N/A</v>
      </c>
      <c r="K345" s="387" t="e">
        <f>IF(AND(N345&lt;=340,N345&gt;270),"J","")</f>
        <v>#N/A</v>
      </c>
      <c r="L345" s="395" t="e">
        <f>IF(AND(N345&lt;=270,N345&gt;190),"K","")</f>
        <v>#N/A</v>
      </c>
      <c r="M345" s="395" t="e">
        <f>IF(N345&lt;=190,"L","")</f>
        <v>#N/A</v>
      </c>
      <c r="N345" s="401" t="e">
        <f>O220</f>
        <v>#N/A</v>
      </c>
      <c r="O345" s="313">
        <v>400</v>
      </c>
      <c r="P345" s="314" t="s">
        <v>109</v>
      </c>
      <c r="Q345" s="432"/>
    </row>
    <row r="346" spans="1:17" ht="18" x14ac:dyDescent="0.25">
      <c r="A346" s="422"/>
      <c r="C346" s="32"/>
      <c r="D346" s="32"/>
      <c r="E346" s="136" t="s">
        <v>34</v>
      </c>
      <c r="F346" s="32"/>
      <c r="G346" s="32"/>
      <c r="H346" s="32"/>
      <c r="I346" s="32"/>
      <c r="J346" s="384" t="e">
        <f>IF(N346=100,"J","")</f>
        <v>#N/A</v>
      </c>
      <c r="K346" s="388" t="e">
        <f>IF(N346=70,"J","")</f>
        <v>#N/A</v>
      </c>
      <c r="L346" s="396" t="e">
        <f>IF(N346=40,"K","")</f>
        <v>#N/A</v>
      </c>
      <c r="M346" s="396" t="e">
        <f>IF(N346&lt;=10,"L","")</f>
        <v>#N/A</v>
      </c>
      <c r="N346" s="302" t="e">
        <f>O158</f>
        <v>#N/A</v>
      </c>
      <c r="O346" s="302">
        <v>100</v>
      </c>
      <c r="P346" s="32"/>
      <c r="Q346" s="432"/>
    </row>
    <row r="347" spans="1:17" ht="18" x14ac:dyDescent="0.25">
      <c r="A347" s="422"/>
      <c r="C347" s="32"/>
      <c r="D347" s="32"/>
      <c r="E347" s="136" t="s">
        <v>92</v>
      </c>
      <c r="F347" s="32"/>
      <c r="G347" s="32"/>
      <c r="H347" s="32"/>
      <c r="I347" s="32"/>
      <c r="J347" s="384" t="e">
        <f>IF(N347=100,"J","")</f>
        <v>#N/A</v>
      </c>
      <c r="K347" s="388" t="e">
        <f>IF(N347=70,"J","")</f>
        <v>#N/A</v>
      </c>
      <c r="L347" s="396" t="e">
        <f>IF(N347=40,"K","")</f>
        <v>#N/A</v>
      </c>
      <c r="M347" s="396" t="e">
        <f>IF(N347&lt;=10,"L","")</f>
        <v>#N/A</v>
      </c>
      <c r="N347" s="302" t="e">
        <f>O184</f>
        <v>#N/A</v>
      </c>
      <c r="O347" s="302">
        <v>100</v>
      </c>
      <c r="P347" s="32"/>
      <c r="Q347" s="432"/>
    </row>
    <row r="348" spans="1:17" ht="18" x14ac:dyDescent="0.25">
      <c r="A348" s="422"/>
      <c r="C348" s="32"/>
      <c r="D348" s="32"/>
      <c r="E348" s="137" t="s">
        <v>113</v>
      </c>
      <c r="F348" s="32"/>
      <c r="G348" s="32"/>
      <c r="H348" s="32"/>
      <c r="I348" s="32"/>
      <c r="J348" s="384" t="e">
        <f>IF(N348=100,"J","")</f>
        <v>#N/A</v>
      </c>
      <c r="K348" s="388" t="e">
        <f>IF(N348=70,"J","")</f>
        <v>#N/A</v>
      </c>
      <c r="L348" s="396" t="e">
        <f>IF(N348=40,"K","")</f>
        <v>#N/A</v>
      </c>
      <c r="M348" s="396" t="e">
        <f>IF(N348&lt;=10,"L","")</f>
        <v>#N/A</v>
      </c>
      <c r="N348" s="302" t="e">
        <f>O194</f>
        <v>#N/A</v>
      </c>
      <c r="O348" s="302">
        <v>100</v>
      </c>
      <c r="P348" s="32"/>
      <c r="Q348" s="432"/>
    </row>
    <row r="349" spans="1:17" ht="18" x14ac:dyDescent="0.25">
      <c r="A349" s="422"/>
      <c r="C349" s="32"/>
      <c r="D349" s="32"/>
      <c r="E349" s="136" t="s">
        <v>93</v>
      </c>
      <c r="F349" s="32"/>
      <c r="G349" s="32"/>
      <c r="H349" s="32"/>
      <c r="I349" s="32"/>
      <c r="J349" s="384" t="e">
        <f>IF(N349=100,"J","")</f>
        <v>#N/A</v>
      </c>
      <c r="K349" s="388" t="e">
        <f>IF(N349=70,"J","")</f>
        <v>#N/A</v>
      </c>
      <c r="L349" s="396" t="e">
        <f>IF(N349=40,"K","")</f>
        <v>#N/A</v>
      </c>
      <c r="M349" s="396" t="e">
        <f>IF(N349&lt;=10,"L","")</f>
        <v>#N/A</v>
      </c>
      <c r="N349" s="302" t="e">
        <f>O217</f>
        <v>#N/A</v>
      </c>
      <c r="O349" s="302">
        <v>100</v>
      </c>
      <c r="P349" s="32"/>
      <c r="Q349" s="432"/>
    </row>
    <row r="350" spans="1:17" ht="19.5" thickBot="1" x14ac:dyDescent="0.35">
      <c r="A350" s="422"/>
      <c r="C350" s="32"/>
      <c r="D350" s="32"/>
      <c r="E350" s="32"/>
      <c r="F350" s="32"/>
      <c r="G350" s="32"/>
      <c r="H350" s="32"/>
      <c r="I350" s="32"/>
      <c r="J350" s="382"/>
      <c r="K350" s="382"/>
      <c r="L350" s="403"/>
      <c r="M350" s="403"/>
      <c r="N350" s="302"/>
      <c r="O350" s="302"/>
      <c r="P350" s="32"/>
      <c r="Q350" s="432"/>
    </row>
    <row r="351" spans="1:17" ht="18.75" thickBot="1" x14ac:dyDescent="0.3">
      <c r="A351" s="422"/>
      <c r="C351" s="32"/>
      <c r="D351" s="315" t="s">
        <v>54</v>
      </c>
      <c r="E351" s="316"/>
      <c r="F351" s="317"/>
      <c r="G351" s="316"/>
      <c r="H351" s="316"/>
      <c r="I351" s="316"/>
      <c r="J351" s="383" t="e">
        <f>IF(N351&gt;181,"J","")</f>
        <v>#N/A</v>
      </c>
      <c r="K351" s="387" t="e">
        <f>IF(AND(N351&lt;=181,N351&gt;119),"J","")</f>
        <v>#N/A</v>
      </c>
      <c r="L351" s="385" t="e">
        <f>IF(AND(N351&lt;=119,N351&gt;89),"K","")</f>
        <v>#N/A</v>
      </c>
      <c r="M351" s="389" t="e">
        <f>IF(N351&lt;=89,"L","")</f>
        <v>#N/A</v>
      </c>
      <c r="N351" s="402" t="e">
        <f>O277</f>
        <v>#N/A</v>
      </c>
      <c r="O351" s="318">
        <v>240</v>
      </c>
      <c r="P351" s="319" t="s">
        <v>109</v>
      </c>
      <c r="Q351" s="432"/>
    </row>
    <row r="352" spans="1:17" ht="18" x14ac:dyDescent="0.25">
      <c r="A352" s="422"/>
      <c r="C352" s="32"/>
      <c r="D352" s="32"/>
      <c r="E352" s="499" t="s">
        <v>46</v>
      </c>
      <c r="F352" s="499"/>
      <c r="G352" s="499"/>
      <c r="H352" s="32"/>
      <c r="I352" s="32"/>
      <c r="J352" s="384" t="e">
        <f>IF(N352=80,"J","")</f>
        <v>#N/A</v>
      </c>
      <c r="K352" s="388" t="e">
        <f>IF(N352=50,"J","")</f>
        <v>#N/A</v>
      </c>
      <c r="L352" s="386" t="e">
        <f>IF(N352=30,"K","")</f>
        <v>#N/A</v>
      </c>
      <c r="M352" s="390" t="e">
        <f>IF(N352&lt;=10,"L","")</f>
        <v>#N/A</v>
      </c>
      <c r="N352" s="302" t="e">
        <f>O238</f>
        <v>#N/A</v>
      </c>
      <c r="O352" s="302">
        <v>80</v>
      </c>
      <c r="P352" s="32"/>
      <c r="Q352" s="432"/>
    </row>
    <row r="353" spans="1:17" ht="18" x14ac:dyDescent="0.25">
      <c r="A353" s="422"/>
      <c r="C353" s="32"/>
      <c r="D353" s="32"/>
      <c r="E353" s="499" t="s">
        <v>55</v>
      </c>
      <c r="F353" s="499"/>
      <c r="G353" s="499"/>
      <c r="H353" s="32"/>
      <c r="I353" s="32"/>
      <c r="J353" s="384" t="str">
        <f>IF(N353=80,"J","")</f>
        <v/>
      </c>
      <c r="K353" s="388" t="str">
        <f>IF(N353=50,"J","")</f>
        <v/>
      </c>
      <c r="L353" s="386" t="str">
        <f>IF(N353=30,"K","")</f>
        <v/>
      </c>
      <c r="M353" s="390" t="str">
        <f>IF(N353&lt;=10,"L","")</f>
        <v>L</v>
      </c>
      <c r="N353" s="302">
        <f>O258</f>
        <v>0</v>
      </c>
      <c r="O353" s="302">
        <v>80</v>
      </c>
      <c r="P353" s="32"/>
      <c r="Q353" s="432"/>
    </row>
    <row r="354" spans="1:17" ht="18" x14ac:dyDescent="0.25">
      <c r="A354" s="422"/>
      <c r="C354" s="32"/>
      <c r="D354" s="32"/>
      <c r="E354" s="138" t="s">
        <v>57</v>
      </c>
      <c r="F354" s="32"/>
      <c r="G354" s="32"/>
      <c r="H354" s="32"/>
      <c r="I354" s="32"/>
      <c r="J354" s="384" t="str">
        <f>IF(N354=60,"J","")</f>
        <v/>
      </c>
      <c r="K354" s="388" t="str">
        <f>IF(N354=50,"J","")</f>
        <v/>
      </c>
      <c r="L354" s="386" t="str">
        <f>IF(N354=30,"K","")</f>
        <v/>
      </c>
      <c r="M354" s="390" t="str">
        <f>IF(N354&lt;=10,"L","")</f>
        <v>L</v>
      </c>
      <c r="N354" s="302">
        <f>O274</f>
        <v>0</v>
      </c>
      <c r="O354" s="302">
        <v>80</v>
      </c>
      <c r="P354" s="32"/>
      <c r="Q354" s="432"/>
    </row>
    <row r="355" spans="1:17" ht="18.75" thickBot="1" x14ac:dyDescent="0.3">
      <c r="A355" s="422"/>
      <c r="C355" s="32"/>
      <c r="D355" s="32"/>
      <c r="E355" s="32"/>
      <c r="F355" s="32"/>
      <c r="G355" s="32"/>
      <c r="H355" s="32"/>
      <c r="I355" s="32"/>
      <c r="J355" s="382"/>
      <c r="K355" s="382"/>
      <c r="L355" s="382"/>
      <c r="M355" s="382"/>
      <c r="N355" s="302"/>
      <c r="O355" s="302"/>
      <c r="P355" s="32"/>
      <c r="Q355" s="432"/>
    </row>
    <row r="356" spans="1:17" ht="18.75" thickBot="1" x14ac:dyDescent="0.3">
      <c r="A356" s="422"/>
      <c r="C356" s="32"/>
      <c r="D356" s="320" t="s">
        <v>45</v>
      </c>
      <c r="E356" s="321"/>
      <c r="F356" s="322"/>
      <c r="G356" s="321"/>
      <c r="H356" s="321"/>
      <c r="I356" s="321"/>
      <c r="J356" s="383" t="e">
        <f>IF(N356&gt;139,"J","")</f>
        <v>#N/A</v>
      </c>
      <c r="K356" s="387" t="e">
        <f>IF(AND(N356&lt;=139,N356&gt;79),"J","")</f>
        <v>#N/A</v>
      </c>
      <c r="L356" s="385" t="e">
        <f>IF(AND(N356&lt;=79,N356&gt;29),"K","")</f>
        <v>#N/A</v>
      </c>
      <c r="M356" s="389" t="e">
        <f>IF(N356&lt;=29,"L","")</f>
        <v>#N/A</v>
      </c>
      <c r="N356" s="323" t="e">
        <f>N330</f>
        <v>#N/A</v>
      </c>
      <c r="O356" s="324">
        <v>160</v>
      </c>
      <c r="P356" s="325" t="s">
        <v>109</v>
      </c>
      <c r="Q356" s="432"/>
    </row>
    <row r="357" spans="1:17" ht="18" x14ac:dyDescent="0.25">
      <c r="A357" s="422"/>
      <c r="C357" s="32"/>
      <c r="D357" s="32"/>
      <c r="E357" s="499" t="s">
        <v>61</v>
      </c>
      <c r="F357" s="499"/>
      <c r="G357" s="32"/>
      <c r="H357" s="32"/>
      <c r="I357" s="32"/>
      <c r="J357" s="384" t="e">
        <f>IF(N357=60,"J","")</f>
        <v>#N/A</v>
      </c>
      <c r="K357" s="388" t="e">
        <f>IF(N357=40,"J","")</f>
        <v>#N/A</v>
      </c>
      <c r="L357" s="386" t="e">
        <f>IF(N357=20,"K","")</f>
        <v>#N/A</v>
      </c>
      <c r="M357" s="390" t="e">
        <f>IF(N357&lt;=10,"L","")</f>
        <v>#N/A</v>
      </c>
      <c r="N357" s="302" t="e">
        <f>O296</f>
        <v>#N/A</v>
      </c>
      <c r="O357" s="302">
        <v>60</v>
      </c>
      <c r="P357" s="32"/>
      <c r="Q357" s="432"/>
    </row>
    <row r="358" spans="1:17" ht="18" x14ac:dyDescent="0.25">
      <c r="A358" s="422"/>
      <c r="C358" s="32"/>
      <c r="D358" s="32"/>
      <c r="E358" s="137" t="s">
        <v>65</v>
      </c>
      <c r="F358" s="32"/>
      <c r="G358" s="32"/>
      <c r="H358" s="32"/>
      <c r="I358" s="32"/>
      <c r="J358" s="384" t="e">
        <f>IF(N358=60,"J","")</f>
        <v>#N/A</v>
      </c>
      <c r="K358" s="388" t="e">
        <f>IF(N358=40,"J","")</f>
        <v>#N/A</v>
      </c>
      <c r="L358" s="386" t="e">
        <f>IF(N358=20,"K","")</f>
        <v>#N/A</v>
      </c>
      <c r="M358" s="390" t="e">
        <f>IF(N358&lt;=10,"L","")</f>
        <v>#N/A</v>
      </c>
      <c r="N358" s="302" t="e">
        <f>O314</f>
        <v>#N/A</v>
      </c>
      <c r="O358" s="302">
        <v>60</v>
      </c>
      <c r="P358" s="32"/>
      <c r="Q358" s="432"/>
    </row>
    <row r="359" spans="1:17" ht="18" x14ac:dyDescent="0.25">
      <c r="A359" s="422"/>
      <c r="C359" s="32"/>
      <c r="D359" s="32"/>
      <c r="E359" s="499" t="s">
        <v>68</v>
      </c>
      <c r="F359" s="499"/>
      <c r="G359" s="32"/>
      <c r="H359" s="32"/>
      <c r="I359" s="32"/>
      <c r="J359" s="397" t="str">
        <f>IF(N359=40,"J","")</f>
        <v/>
      </c>
      <c r="K359" s="398" t="str">
        <f>IF(N359=20,"J","")</f>
        <v/>
      </c>
      <c r="L359" s="399" t="str">
        <f>IF(N359=10,"K","")</f>
        <v/>
      </c>
      <c r="M359" s="400" t="str">
        <f>IF(N359&lt;10,"L","")</f>
        <v>L</v>
      </c>
      <c r="N359" s="303">
        <f>O327</f>
        <v>0</v>
      </c>
      <c r="O359" s="303">
        <v>40</v>
      </c>
      <c r="P359" s="32"/>
      <c r="Q359" s="432"/>
    </row>
    <row r="360" spans="1:17" ht="16.5" thickBot="1" x14ac:dyDescent="0.3">
      <c r="A360" s="42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432"/>
    </row>
    <row r="361" spans="1:17" x14ac:dyDescent="0.25">
      <c r="A361" s="422"/>
      <c r="C361" s="139"/>
      <c r="D361" s="140"/>
      <c r="E361" s="140"/>
      <c r="F361" s="140"/>
      <c r="G361" s="140"/>
      <c r="H361" s="140" t="s">
        <v>82</v>
      </c>
      <c r="I361" s="140" t="s">
        <v>83</v>
      </c>
      <c r="J361" s="140" t="s">
        <v>84</v>
      </c>
      <c r="K361" s="140" t="s">
        <v>85</v>
      </c>
      <c r="L361" s="140"/>
      <c r="M361" s="140"/>
      <c r="N361" s="140"/>
      <c r="O361" s="140"/>
      <c r="P361" s="141"/>
      <c r="Q361" s="432"/>
    </row>
    <row r="362" spans="1:17" x14ac:dyDescent="0.25">
      <c r="A362" s="422"/>
      <c r="C362" s="35"/>
      <c r="D362" s="34"/>
      <c r="E362" s="34"/>
      <c r="F362" s="142"/>
      <c r="G362" s="143" t="s">
        <v>81</v>
      </c>
      <c r="H362" s="144">
        <v>300</v>
      </c>
      <c r="I362" s="144">
        <v>400</v>
      </c>
      <c r="J362" s="144">
        <v>240</v>
      </c>
      <c r="K362" s="145">
        <v>160</v>
      </c>
      <c r="L362" s="146"/>
      <c r="M362" s="34"/>
      <c r="N362" s="34"/>
      <c r="O362" s="144">
        <f>SUM(H362:K362)</f>
        <v>1100</v>
      </c>
      <c r="P362" s="36"/>
      <c r="Q362" s="432"/>
    </row>
    <row r="363" spans="1:17" x14ac:dyDescent="0.25">
      <c r="A363" s="422"/>
      <c r="C363" s="35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6"/>
      <c r="Q363" s="432"/>
    </row>
    <row r="364" spans="1:17" x14ac:dyDescent="0.25">
      <c r="A364" s="422"/>
      <c r="C364" s="35"/>
      <c r="D364" s="34"/>
      <c r="E364" s="147"/>
      <c r="F364" s="147"/>
      <c r="G364" s="147" t="s">
        <v>86</v>
      </c>
      <c r="H364" s="121" t="e">
        <f>O143</f>
        <v>#N/A</v>
      </c>
      <c r="I364" s="121" t="e">
        <f>O220</f>
        <v>#N/A</v>
      </c>
      <c r="J364" s="121" t="e">
        <f>O277</f>
        <v>#N/A</v>
      </c>
      <c r="K364" s="121" t="e">
        <f>O330</f>
        <v>#N/A</v>
      </c>
      <c r="L364" s="34"/>
      <c r="M364" s="34"/>
      <c r="N364" s="147" t="s">
        <v>87</v>
      </c>
      <c r="O364" s="121" t="e">
        <f>SUM(H364:K364)</f>
        <v>#N/A</v>
      </c>
      <c r="P364" s="63" t="s">
        <v>109</v>
      </c>
      <c r="Q364" s="432"/>
    </row>
    <row r="365" spans="1:17" ht="16.5" thickBot="1" x14ac:dyDescent="0.3">
      <c r="A365" s="422"/>
      <c r="C365" s="37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9"/>
      <c r="Q365" s="432"/>
    </row>
    <row r="366" spans="1:17" ht="16.5" thickBot="1" x14ac:dyDescent="0.3">
      <c r="A366" s="422"/>
      <c r="C366" s="32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32"/>
      <c r="Q366" s="432"/>
    </row>
    <row r="367" spans="1:17" ht="21" thickBot="1" x14ac:dyDescent="0.35">
      <c r="A367" s="422"/>
      <c r="C367" s="32"/>
      <c r="D367" s="32"/>
      <c r="E367" s="32"/>
      <c r="F367" s="500" t="s">
        <v>239</v>
      </c>
      <c r="G367" s="500"/>
      <c r="H367" s="501"/>
      <c r="I367" s="457" t="str">
        <f>IF(COUNTIF(L346:M349,"")&lt;8,"Note Eliminatoire Formation",IF(O364&gt;599,"Labellisable FFR",IF(O364&gt;499,"A AMELIORER",IF(O364&gt;121,"INSUFFISANT",IF(121&gt;O364,"")))))</f>
        <v>Note Eliminatoire Formation</v>
      </c>
      <c r="J367" s="458"/>
      <c r="K367" s="458"/>
      <c r="L367" s="458"/>
      <c r="M367" s="458"/>
      <c r="N367" s="459"/>
      <c r="O367" s="32"/>
      <c r="P367" s="32"/>
      <c r="Q367" s="432"/>
    </row>
    <row r="368" spans="1:17" x14ac:dyDescent="0.25">
      <c r="A368" s="42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432"/>
    </row>
    <row r="370" ht="15.75" customHeight="1" x14ac:dyDescent="0.25"/>
    <row r="371" ht="15.75" customHeight="1" x14ac:dyDescent="0.25"/>
    <row r="373" ht="15.75" customHeight="1" x14ac:dyDescent="0.25"/>
    <row r="374" ht="15.75" customHeight="1" x14ac:dyDescent="0.25"/>
    <row r="375" ht="15.75" customHeight="1" x14ac:dyDescent="0.25"/>
    <row r="377" ht="15.75" customHeight="1" x14ac:dyDescent="0.25"/>
    <row r="378" ht="15.75" customHeight="1" x14ac:dyDescent="0.25"/>
    <row r="381" ht="20.25" customHeight="1" x14ac:dyDescent="0.25"/>
    <row r="382" ht="20.25" customHeight="1" x14ac:dyDescent="0.25"/>
    <row r="396" ht="18" customHeight="1" x14ac:dyDescent="0.25"/>
  </sheetData>
  <sheetProtection password="CE88" sheet="1" objects="1" scenarios="1" selectLockedCells="1"/>
  <protectedRanges>
    <protectedRange password="C9DD" sqref="D37:D41 G37:G41" name="Plage1"/>
  </protectedRanges>
  <mergeCells count="160">
    <mergeCell ref="L193:M193"/>
    <mergeCell ref="D21:O22"/>
    <mergeCell ref="L182:M182"/>
    <mergeCell ref="L188:M188"/>
    <mergeCell ref="L189:M189"/>
    <mergeCell ref="J172:N172"/>
    <mergeCell ref="D306:K306"/>
    <mergeCell ref="H199:I199"/>
    <mergeCell ref="H134:K134"/>
    <mergeCell ref="J199:K199"/>
    <mergeCell ref="I78:K78"/>
    <mergeCell ref="L199:M199"/>
    <mergeCell ref="D80:F80"/>
    <mergeCell ref="G85:I85"/>
    <mergeCell ref="G80:I80"/>
    <mergeCell ref="I167:M167"/>
    <mergeCell ref="I188:J188"/>
    <mergeCell ref="D167:H167"/>
    <mergeCell ref="H118:I118"/>
    <mergeCell ref="L128:M128"/>
    <mergeCell ref="L130:M130"/>
    <mergeCell ref="L131:M131"/>
    <mergeCell ref="G81:I81"/>
    <mergeCell ref="M81:O81"/>
    <mergeCell ref="E335:N335"/>
    <mergeCell ref="J226:K226"/>
    <mergeCell ref="D228:I229"/>
    <mergeCell ref="D200:G200"/>
    <mergeCell ref="D201:G201"/>
    <mergeCell ref="D202:G202"/>
    <mergeCell ref="D203:G203"/>
    <mergeCell ref="D204:G204"/>
    <mergeCell ref="D205:G205"/>
    <mergeCell ref="D215:F215"/>
    <mergeCell ref="E333:N333"/>
    <mergeCell ref="F325:O325"/>
    <mergeCell ref="I283:J283"/>
    <mergeCell ref="H294:O294"/>
    <mergeCell ref="L302:M302"/>
    <mergeCell ref="L306:M306"/>
    <mergeCell ref="D235:I236"/>
    <mergeCell ref="G207:H207"/>
    <mergeCell ref="D1:O1"/>
    <mergeCell ref="K41:L41"/>
    <mergeCell ref="I45:J45"/>
    <mergeCell ref="K67:N67"/>
    <mergeCell ref="F67:G67"/>
    <mergeCell ref="D61:L61"/>
    <mergeCell ref="K68:N68"/>
    <mergeCell ref="L108:M108"/>
    <mergeCell ref="L109:M109"/>
    <mergeCell ref="F9:M9"/>
    <mergeCell ref="I31:J31"/>
    <mergeCell ref="E37:F37"/>
    <mergeCell ref="H17:N17"/>
    <mergeCell ref="G3:M3"/>
    <mergeCell ref="J81:L81"/>
    <mergeCell ref="G4:L4"/>
    <mergeCell ref="F6:M6"/>
    <mergeCell ref="F7:M7"/>
    <mergeCell ref="E24:L24"/>
    <mergeCell ref="D84:F84"/>
    <mergeCell ref="B26:P28"/>
    <mergeCell ref="B74:P75"/>
    <mergeCell ref="F12:M13"/>
    <mergeCell ref="K69:N69"/>
    <mergeCell ref="E357:F357"/>
    <mergeCell ref="E359:F359"/>
    <mergeCell ref="E352:G352"/>
    <mergeCell ref="F367:H367"/>
    <mergeCell ref="D249:J249"/>
    <mergeCell ref="E353:G353"/>
    <mergeCell ref="H56:K56"/>
    <mergeCell ref="D62:L62"/>
    <mergeCell ref="H58:K58"/>
    <mergeCell ref="K70:N70"/>
    <mergeCell ref="D199:E199"/>
    <mergeCell ref="L77:O77"/>
    <mergeCell ref="J168:N168"/>
    <mergeCell ref="J169:N169"/>
    <mergeCell ref="J170:N170"/>
    <mergeCell ref="J171:N171"/>
    <mergeCell ref="L133:M133"/>
    <mergeCell ref="L134:M134"/>
    <mergeCell ref="L110:M110"/>
    <mergeCell ref="L190:M190"/>
    <mergeCell ref="L191:M191"/>
    <mergeCell ref="L192:M192"/>
    <mergeCell ref="F199:G199"/>
    <mergeCell ref="K180:N180"/>
    <mergeCell ref="L136:M136"/>
    <mergeCell ref="L138:M138"/>
    <mergeCell ref="D149:M149"/>
    <mergeCell ref="J84:L84"/>
    <mergeCell ref="L112:M112"/>
    <mergeCell ref="L156:M156"/>
    <mergeCell ref="B145:P146"/>
    <mergeCell ref="D114:K114"/>
    <mergeCell ref="D177:I177"/>
    <mergeCell ref="J177:N177"/>
    <mergeCell ref="L111:M111"/>
    <mergeCell ref="L123:M123"/>
    <mergeCell ref="L116:M116"/>
    <mergeCell ref="D23:O23"/>
    <mergeCell ref="K40:L40"/>
    <mergeCell ref="E40:F40"/>
    <mergeCell ref="F56:G56"/>
    <mergeCell ref="D108:K108"/>
    <mergeCell ref="D109:K109"/>
    <mergeCell ref="E38:F38"/>
    <mergeCell ref="H37:J37"/>
    <mergeCell ref="H38:J38"/>
    <mergeCell ref="K38:L38"/>
    <mergeCell ref="M37:O37"/>
    <mergeCell ref="E41:F41"/>
    <mergeCell ref="G84:I84"/>
    <mergeCell ref="C58:F58"/>
    <mergeCell ref="D85:F85"/>
    <mergeCell ref="K48:M48"/>
    <mergeCell ref="C31:E31"/>
    <mergeCell ref="H33:L33"/>
    <mergeCell ref="K37:L37"/>
    <mergeCell ref="I30:J30"/>
    <mergeCell ref="J80:L80"/>
    <mergeCell ref="K30:N30"/>
    <mergeCell ref="K31:N31"/>
    <mergeCell ref="D30:E30"/>
    <mergeCell ref="H39:J39"/>
    <mergeCell ref="H40:J40"/>
    <mergeCell ref="D110:K110"/>
    <mergeCell ref="D111:K111"/>
    <mergeCell ref="D112:K112"/>
    <mergeCell ref="D113:K113"/>
    <mergeCell ref="H41:J41"/>
    <mergeCell ref="K39:L39"/>
    <mergeCell ref="L113:M113"/>
    <mergeCell ref="F30:H30"/>
    <mergeCell ref="L114:M114"/>
    <mergeCell ref="L125:M125"/>
    <mergeCell ref="D116:K116"/>
    <mergeCell ref="L126:M126"/>
    <mergeCell ref="D33:G33"/>
    <mergeCell ref="I367:N367"/>
    <mergeCell ref="B222:P223"/>
    <mergeCell ref="B279:P280"/>
    <mergeCell ref="D252:I254"/>
    <mergeCell ref="M38:O38"/>
    <mergeCell ref="M39:O39"/>
    <mergeCell ref="D81:F81"/>
    <mergeCell ref="M84:O84"/>
    <mergeCell ref="M85:O85"/>
    <mergeCell ref="M40:O40"/>
    <mergeCell ref="E39:F39"/>
    <mergeCell ref="J85:L85"/>
    <mergeCell ref="M80:O80"/>
    <mergeCell ref="N199:O199"/>
    <mergeCell ref="M41:O41"/>
    <mergeCell ref="K50:M50"/>
    <mergeCell ref="D225:I226"/>
    <mergeCell ref="D271:L272"/>
  </mergeCells>
  <phoneticPr fontId="31" type="noConversion"/>
  <dataValidations xWindow="235" yWindow="780" count="23">
    <dataValidation type="whole" allowBlank="1" showInputMessage="1" showErrorMessage="1" errorTitle="Incohérence" error="Le nombre total de licenciés du club est au moins égal au nombre de licenciés EDR et au maximum de 1500" promptTitle="Licenciés du Club" prompt="Nombre de licenciés dans le club" sqref="L56">
      <formula1>L54</formula1>
      <formula2>1500</formula2>
    </dataValidation>
    <dataValidation type="whole" operator="lessThanOrEqual" allowBlank="1" showInputMessage="1" showErrorMessage="1" errorTitle="Incohérence" error="Il ne peut y avoir plus d'éducateurs sans formation que le total d'éducateurs." sqref="I164">
      <formula1>I163</formula1>
    </dataValidation>
    <dataValidation type="whole" operator="lessThanOrEqual" allowBlank="1" showInputMessage="1" showErrorMessage="1" errorTitle="Incohérence" error="Le nombre de licenciés moins de 7 ans ne peut être supérieur au nombre total de licenciés (case J54)" sqref="I207">
      <formula1>L54</formula1>
    </dataValidation>
    <dataValidation type="whole" operator="lessThanOrEqual" allowBlank="1" showInputMessage="1" showErrorMessage="1" sqref="I210">
      <formula1>L54</formula1>
    </dataValidation>
    <dataValidation type="list" allowBlank="1" showInputMessage="1" showErrorMessage="1" sqref="L319 O87 O256 M62 L116:M116 L94:L95 L138:M138 M272 L263 I262 O208 O212 I208 O162 L182:M182 F210 N247 L193:M193 N248 O213">
      <formula1>OUI_NON</formula1>
    </dataValidation>
    <dataValidation type="list" allowBlank="1" showInputMessage="1" showErrorMessage="1" sqref="I283:J283">
      <formula1>freq_presse</formula1>
    </dataValidation>
    <dataValidation type="list" allowBlank="1" showInputMessage="1" showErrorMessage="1" sqref="L302:M302 L306:M306">
      <formula1>freq_comite</formula1>
    </dataValidation>
    <dataValidation type="list" allowBlank="1" showInputMessage="1" showErrorMessage="1" sqref="D215:F215">
      <formula1>Freq_entr</formula1>
    </dataValidation>
    <dataValidation type="list" allowBlank="1" showInputMessage="1" showErrorMessage="1" sqref="L188:M188 L123:M123 L156:M156 L125:M126 L128:M128 L130:M131 L133:M134 L136:M136 L190:M192">
      <formula1>Fréquence</formula1>
    </dataValidation>
    <dataValidation type="list" allowBlank="1" showInputMessage="1" showErrorMessage="1" sqref="J177:N177">
      <formula1>Freq_reunions</formula1>
    </dataValidation>
    <dataValidation type="list" allowBlank="1" showInputMessage="1" showErrorMessage="1" sqref="K180:N180">
      <formula1>Educ_dep</formula1>
    </dataValidation>
    <dataValidation type="whole" operator="greaterThan" allowBlank="1" showInputMessage="1" showErrorMessage="1" errorTitle="Incohérence" error="Au moins 1 éducateur" sqref="I163">
      <formula1>0</formula1>
    </dataValidation>
    <dataValidation type="whole" operator="greaterThan" allowBlank="1" showInputMessage="1" showErrorMessage="1" errorTitle="Incohérence" error="Il doit y avoir au moins une équipe." sqref="O164">
      <formula1>0</formula1>
    </dataValidation>
    <dataValidation type="list" allowBlank="1" showInputMessage="1" showErrorMessage="1" sqref="J226:K226">
      <formula1>freq_tournoi</formula1>
    </dataValidation>
    <dataValidation type="list" allowBlank="1" showInputMessage="1" showErrorMessage="1" promptTitle="Organisation EDR" prompt="Indiquez le niveau de l'organisation de l'Ecole de Rugby" sqref="L77:O77">
      <formula1>Satisfaction</formula1>
    </dataValidation>
    <dataValidation type="custom" allowBlank="1" showInputMessage="1" showErrorMessage="1" sqref="D81:I81">
      <formula1>ISTEXT(D81)</formula1>
    </dataValidation>
    <dataValidation type="list" allowBlank="1" showInputMessage="1" showErrorMessage="1" sqref="L108:M114">
      <formula1>Satisfaction</formula1>
    </dataValidation>
    <dataValidation type="list" showInputMessage="1" showErrorMessage="1" promptTitle="Zone de Recrutement" prompt="Indiquez le type d'environnement du Club" sqref="F67:G67">
      <formula1>Zone_recrutement</formula1>
    </dataValidation>
    <dataValidation type="list" showInputMessage="1" showErrorMessage="1" promptTitle="Niveau" prompt="Sélectionnez le niveau du Club" sqref="I45:J45">
      <formula1>Niveau</formula1>
    </dataValidation>
    <dataValidation type="list" allowBlank="1" showInputMessage="1" showErrorMessage="1" promptTitle="Organigramme EDR" prompt="Existe-il- un organigramme de L'Ecole de Rugby?" sqref="G54">
      <formula1>OUI_NON</formula1>
    </dataValidation>
    <dataValidation type="whole" showInputMessage="1" showErrorMessage="1" errorTitle="Incohérence" error="Le nombre de licenciés en EDR est au moins égal à 1 et au maximum de 1500" promptTitle="Licenciés en Ecole de Rugby" prompt="Nombre de licenciés en EDR" sqref="L54">
      <formula1>1</formula1>
      <formula2>1500</formula2>
    </dataValidation>
    <dataValidation type="list" showInputMessage="1" showErrorMessage="1" sqref="M61">
      <formula1>OUI_NON</formula1>
    </dataValidation>
    <dataValidation type="whole" allowBlank="1" showInputMessage="1" showErrorMessage="1" errorTitle="Date incohérente" error="L'année doit être entre 1900 et 2011" sqref="K48:M48">
      <formula1>1900</formula1>
      <formula2>2011</formula2>
    </dataValidation>
  </dataValidations>
  <printOptions horizontalCentered="1"/>
  <pageMargins left="0.27559055118110237" right="0.27559055118110237" top="0.6692913385826772" bottom="0.47244094488188981" header="0.51181102362204722" footer="0.35433070866141736"/>
  <pageSetup paperSize="9" scale="84" fitToHeight="0" orientation="portrait" horizontalDpi="4294967293" verticalDpi="4294967293" r:id="rId1"/>
  <headerFooter alignWithMargins="0">
    <oddFooter>Page &amp;P de &amp;N</oddFooter>
  </headerFooter>
  <rowBreaks count="8" manualBreakCount="8">
    <brk id="24" max="16383" man="1"/>
    <brk id="72" max="16383" man="1"/>
    <brk id="119" max="16383" man="1"/>
    <brk id="143" max="16383" man="1"/>
    <brk id="195" max="16383" man="1"/>
    <brk id="221" max="16383" man="1"/>
    <brk id="278" max="16383" man="1"/>
    <brk id="330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4" name="Check Box 29">
              <controlPr locked="0" defaultSize="0" autoFill="0" autoLine="0" autoPict="0">
                <anchor moveWithCells="1">
                  <from>
                    <xdr:col>9</xdr:col>
                    <xdr:colOff>238125</xdr:colOff>
                    <xdr:row>65</xdr:row>
                    <xdr:rowOff>180975</xdr:rowOff>
                  </from>
                  <to>
                    <xdr:col>14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5" name="Check Box 30">
              <controlPr locked="0" defaultSize="0" autoFill="0" autoLine="0" autoPict="0">
                <anchor moveWithCells="1">
                  <from>
                    <xdr:col>9</xdr:col>
                    <xdr:colOff>238125</xdr:colOff>
                    <xdr:row>66</xdr:row>
                    <xdr:rowOff>180975</xdr:rowOff>
                  </from>
                  <to>
                    <xdr:col>14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6" name="Check Box 31">
              <controlPr locked="0" defaultSize="0" autoFill="0" autoLine="0" autoPict="0">
                <anchor moveWithCells="1">
                  <from>
                    <xdr:col>9</xdr:col>
                    <xdr:colOff>238125</xdr:colOff>
                    <xdr:row>67</xdr:row>
                    <xdr:rowOff>190500</xdr:rowOff>
                  </from>
                  <to>
                    <xdr:col>14</xdr:col>
                    <xdr:colOff>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7" name="Check Box 32">
              <controlPr locked="0" defaultSize="0" autoFill="0" autoLine="0" autoPict="0">
                <anchor moveWithCells="1">
                  <from>
                    <xdr:col>9</xdr:col>
                    <xdr:colOff>238125</xdr:colOff>
                    <xdr:row>69</xdr:row>
                    <xdr:rowOff>0</xdr:rowOff>
                  </from>
                  <to>
                    <xdr:col>14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8" name="Check Box 45">
              <controlPr locked="0" defaultSize="0" autoFill="0" autoLine="0" autoPict="0">
                <anchor moveWithCells="1">
                  <from>
                    <xdr:col>5</xdr:col>
                    <xdr:colOff>257175</xdr:colOff>
                    <xdr:row>94</xdr:row>
                    <xdr:rowOff>190500</xdr:rowOff>
                  </from>
                  <to>
                    <xdr:col>15</xdr:col>
                    <xdr:colOff>190500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9" name="Check Box 46">
              <controlPr locked="0" defaultSize="0" autoFill="0" autoLine="0" autoPict="0">
                <anchor moveWithCells="1">
                  <from>
                    <xdr:col>5</xdr:col>
                    <xdr:colOff>257175</xdr:colOff>
                    <xdr:row>95</xdr:row>
                    <xdr:rowOff>180975</xdr:rowOff>
                  </from>
                  <to>
                    <xdr:col>15</xdr:col>
                    <xdr:colOff>190500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" name="Check Box 47">
              <controlPr locked="0" defaultSize="0" autoFill="0" autoLine="0" autoPict="0">
                <anchor moveWithCells="1">
                  <from>
                    <xdr:col>5</xdr:col>
                    <xdr:colOff>257175</xdr:colOff>
                    <xdr:row>96</xdr:row>
                    <xdr:rowOff>180975</xdr:rowOff>
                  </from>
                  <to>
                    <xdr:col>15</xdr:col>
                    <xdr:colOff>190500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1" name="Check Box 48">
              <controlPr locked="0" defaultSize="0" autoFill="0" autoLine="0" autoPict="0">
                <anchor moveWithCells="1">
                  <from>
                    <xdr:col>5</xdr:col>
                    <xdr:colOff>257175</xdr:colOff>
                    <xdr:row>97</xdr:row>
                    <xdr:rowOff>180975</xdr:rowOff>
                  </from>
                  <to>
                    <xdr:col>15</xdr:col>
                    <xdr:colOff>190500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2" name="Check Box 49">
              <controlPr locked="0" defaultSize="0" autoFill="0" autoLine="0" autoPict="0">
                <anchor moveWithCells="1">
                  <from>
                    <xdr:col>5</xdr:col>
                    <xdr:colOff>257175</xdr:colOff>
                    <xdr:row>99</xdr:row>
                    <xdr:rowOff>0</xdr:rowOff>
                  </from>
                  <to>
                    <xdr:col>15</xdr:col>
                    <xdr:colOff>190500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3" name="Check Box 50">
              <controlPr locked="0" defaultSize="0" autoFill="0" autoLine="0" autoPict="0">
                <anchor moveWithCells="1">
                  <from>
                    <xdr:col>5</xdr:col>
                    <xdr:colOff>257175</xdr:colOff>
                    <xdr:row>100</xdr:row>
                    <xdr:rowOff>38100</xdr:rowOff>
                  </from>
                  <to>
                    <xdr:col>15</xdr:col>
                    <xdr:colOff>190500</xdr:colOff>
                    <xdr:row>101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4" name="Option Button 69">
              <controlPr defaultSize="0" autoFill="0" autoLine="0" autoPict="0">
                <anchor moveWithCells="1">
                  <from>
                    <xdr:col>2</xdr:col>
                    <xdr:colOff>66675</xdr:colOff>
                    <xdr:row>148</xdr:row>
                    <xdr:rowOff>0</xdr:rowOff>
                  </from>
                  <to>
                    <xdr:col>15</xdr:col>
                    <xdr:colOff>219075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5" name="Option Button 70">
              <controlPr defaultSize="0" autoFill="0" autoLine="0" autoPict="0">
                <anchor moveWithCells="1">
                  <from>
                    <xdr:col>2</xdr:col>
                    <xdr:colOff>66675</xdr:colOff>
                    <xdr:row>149</xdr:row>
                    <xdr:rowOff>0</xdr:rowOff>
                  </from>
                  <to>
                    <xdr:col>15</xdr:col>
                    <xdr:colOff>219075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6" name="Option Button 71">
              <controlPr defaultSize="0" autoFill="0" autoLine="0" autoPict="0">
                <anchor moveWithCells="1">
                  <from>
                    <xdr:col>2</xdr:col>
                    <xdr:colOff>66675</xdr:colOff>
                    <xdr:row>149</xdr:row>
                    <xdr:rowOff>190500</xdr:rowOff>
                  </from>
                  <to>
                    <xdr:col>15</xdr:col>
                    <xdr:colOff>219075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7" name="Option Button 72">
              <controlPr defaultSize="0" autoFill="0" autoLine="0" autoPict="0">
                <anchor moveWithCells="1">
                  <from>
                    <xdr:col>2</xdr:col>
                    <xdr:colOff>66675</xdr:colOff>
                    <xdr:row>150</xdr:row>
                    <xdr:rowOff>190500</xdr:rowOff>
                  </from>
                  <to>
                    <xdr:col>15</xdr:col>
                    <xdr:colOff>219075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8" name="Option Button 73">
              <controlPr defaultSize="0" autoFill="0" autoLine="0" autoPict="0">
                <anchor moveWithCells="1">
                  <from>
                    <xdr:col>2</xdr:col>
                    <xdr:colOff>66675</xdr:colOff>
                    <xdr:row>151</xdr:row>
                    <xdr:rowOff>190500</xdr:rowOff>
                  </from>
                  <to>
                    <xdr:col>15</xdr:col>
                    <xdr:colOff>219075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9" name="Group Box 74">
              <controlPr defaultSize="0" autoFill="0" autoPict="0">
                <anchor moveWithCells="1">
                  <from>
                    <xdr:col>2</xdr:col>
                    <xdr:colOff>47625</xdr:colOff>
                    <xdr:row>147</xdr:row>
                    <xdr:rowOff>161925</xdr:rowOff>
                  </from>
                  <to>
                    <xdr:col>15</xdr:col>
                    <xdr:colOff>257175</xdr:colOff>
                    <xdr:row>153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0" name="Check Box 88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199</xdr:row>
                    <xdr:rowOff>0</xdr:rowOff>
                  </from>
                  <to>
                    <xdr:col>9</xdr:col>
                    <xdr:colOff>0</xdr:colOff>
                    <xdr:row>200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1" name="Check Box 89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199</xdr:row>
                    <xdr:rowOff>190500</xdr:rowOff>
                  </from>
                  <to>
                    <xdr:col>9</xdr:col>
                    <xdr:colOff>0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22" name="Check Box 90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200</xdr:row>
                    <xdr:rowOff>190500</xdr:rowOff>
                  </from>
                  <to>
                    <xdr:col>9</xdr:col>
                    <xdr:colOff>0</xdr:colOff>
                    <xdr:row>202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23" name="Check Box 91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201</xdr:row>
                    <xdr:rowOff>190500</xdr:rowOff>
                  </from>
                  <to>
                    <xdr:col>9</xdr:col>
                    <xdr:colOff>0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4" name="Check Box 92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202</xdr:row>
                    <xdr:rowOff>190500</xdr:rowOff>
                  </from>
                  <to>
                    <xdr:col>9</xdr:col>
                    <xdr:colOff>0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25" name="Check Box 93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203</xdr:row>
                    <xdr:rowOff>190500</xdr:rowOff>
                  </from>
                  <to>
                    <xdr:col>9</xdr:col>
                    <xdr:colOff>0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6" name="Check Box 94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199</xdr:row>
                    <xdr:rowOff>0</xdr:rowOff>
                  </from>
                  <to>
                    <xdr:col>11</xdr:col>
                    <xdr:colOff>0</xdr:colOff>
                    <xdr:row>200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27" name="Check Box 95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199</xdr:row>
                    <xdr:rowOff>190500</xdr:rowOff>
                  </from>
                  <to>
                    <xdr:col>11</xdr:col>
                    <xdr:colOff>0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8" name="Check Box 96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200</xdr:row>
                    <xdr:rowOff>190500</xdr:rowOff>
                  </from>
                  <to>
                    <xdr:col>11</xdr:col>
                    <xdr:colOff>0</xdr:colOff>
                    <xdr:row>202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29" name="Check Box 97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201</xdr:row>
                    <xdr:rowOff>190500</xdr:rowOff>
                  </from>
                  <to>
                    <xdr:col>11</xdr:col>
                    <xdr:colOff>0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30" name="Check Box 98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202</xdr:row>
                    <xdr:rowOff>190500</xdr:rowOff>
                  </from>
                  <to>
                    <xdr:col>11</xdr:col>
                    <xdr:colOff>0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1" name="Check Box 99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203</xdr:row>
                    <xdr:rowOff>190500</xdr:rowOff>
                  </from>
                  <to>
                    <xdr:col>11</xdr:col>
                    <xdr:colOff>0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32" name="Check Box 105">
              <controlPr defaultSize="0" autoFill="0" autoLine="0" autoPict="0">
                <anchor moveWithCells="1">
                  <from>
                    <xdr:col>8</xdr:col>
                    <xdr:colOff>28575</xdr:colOff>
                    <xdr:row>213</xdr:row>
                    <xdr:rowOff>9525</xdr:rowOff>
                  </from>
                  <to>
                    <xdr:col>15</xdr:col>
                    <xdr:colOff>28575</xdr:colOff>
                    <xdr:row>214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33" name="Check Box 106">
              <controlPr defaultSize="0" autoFill="0" autoLine="0" autoPict="0">
                <anchor moveWithCells="1">
                  <from>
                    <xdr:col>8</xdr:col>
                    <xdr:colOff>28575</xdr:colOff>
                    <xdr:row>214</xdr:row>
                    <xdr:rowOff>0</xdr:rowOff>
                  </from>
                  <to>
                    <xdr:col>15</xdr:col>
                    <xdr:colOff>28575</xdr:colOff>
                    <xdr:row>215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34" name="Check Box 110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227</xdr:row>
                    <xdr:rowOff>190500</xdr:rowOff>
                  </from>
                  <to>
                    <xdr:col>16</xdr:col>
                    <xdr:colOff>0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35" name="Check Box 111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229</xdr:row>
                    <xdr:rowOff>0</xdr:rowOff>
                  </from>
                  <to>
                    <xdr:col>15</xdr:col>
                    <xdr:colOff>276225</xdr:colOff>
                    <xdr:row>230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36" name="Check Box 112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229</xdr:row>
                    <xdr:rowOff>190500</xdr:rowOff>
                  </from>
                  <to>
                    <xdr:col>16</xdr:col>
                    <xdr:colOff>0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7" name="Check Box 113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230</xdr:row>
                    <xdr:rowOff>180975</xdr:rowOff>
                  </from>
                  <to>
                    <xdr:col>15</xdr:col>
                    <xdr:colOff>276225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38" name="Check Box 114">
              <controlPr locked="0" defaultSize="0" autoFill="0" autoLine="0" autoPict="0">
                <anchor moveWithCells="1">
                  <from>
                    <xdr:col>9</xdr:col>
                    <xdr:colOff>209550</xdr:colOff>
                    <xdr:row>233</xdr:row>
                    <xdr:rowOff>190500</xdr:rowOff>
                  </from>
                  <to>
                    <xdr:col>15</xdr:col>
                    <xdr:colOff>266700</xdr:colOff>
                    <xdr:row>235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39" name="Check Box 115">
              <controlPr locked="0" defaultSize="0" autoFill="0" autoLine="0" autoPict="0">
                <anchor moveWithCells="1">
                  <from>
                    <xdr:col>9</xdr:col>
                    <xdr:colOff>200025</xdr:colOff>
                    <xdr:row>235</xdr:row>
                    <xdr:rowOff>9525</xdr:rowOff>
                  </from>
                  <to>
                    <xdr:col>15</xdr:col>
                    <xdr:colOff>257175</xdr:colOff>
                    <xdr:row>236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40" name="Check Box 116">
              <controlPr defaultSize="0" autoFill="0" autoLine="0" autoPict="0">
                <anchor moveWithCells="1">
                  <from>
                    <xdr:col>10</xdr:col>
                    <xdr:colOff>257175</xdr:colOff>
                    <xdr:row>240</xdr:row>
                    <xdr:rowOff>200025</xdr:rowOff>
                  </from>
                  <to>
                    <xdr:col>16</xdr:col>
                    <xdr:colOff>0</xdr:colOff>
                    <xdr:row>242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41" name="Check Box 117">
              <controlPr defaultSize="0" autoFill="0" autoLine="0" autoPict="0">
                <anchor moveWithCells="1">
                  <from>
                    <xdr:col>10</xdr:col>
                    <xdr:colOff>257175</xdr:colOff>
                    <xdr:row>241</xdr:row>
                    <xdr:rowOff>190500</xdr:rowOff>
                  </from>
                  <to>
                    <xdr:col>16</xdr:col>
                    <xdr:colOff>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42" name="Check Box 118">
              <controlPr defaultSize="0" autoFill="0" autoLine="0" autoPict="0">
                <anchor moveWithCells="1">
                  <from>
                    <xdr:col>10</xdr:col>
                    <xdr:colOff>257175</xdr:colOff>
                    <xdr:row>242</xdr:row>
                    <xdr:rowOff>180975</xdr:rowOff>
                  </from>
                  <to>
                    <xdr:col>16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43" name="Check Box 119">
              <controlPr defaultSize="0" autoFill="0" autoLine="0" autoPict="0">
                <anchor moveWithCells="1">
                  <from>
                    <xdr:col>10</xdr:col>
                    <xdr:colOff>257175</xdr:colOff>
                    <xdr:row>243</xdr:row>
                    <xdr:rowOff>180975</xdr:rowOff>
                  </from>
                  <to>
                    <xdr:col>16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44" name="Check Box 120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248</xdr:row>
                    <xdr:rowOff>0</xdr:rowOff>
                  </from>
                  <to>
                    <xdr:col>16</xdr:col>
                    <xdr:colOff>9525</xdr:colOff>
                    <xdr:row>249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45" name="Check Box 122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249</xdr:row>
                    <xdr:rowOff>0</xdr:rowOff>
                  </from>
                  <to>
                    <xdr:col>16</xdr:col>
                    <xdr:colOff>9525</xdr:colOff>
                    <xdr:row>250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46" name="Check Box 123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250</xdr:row>
                    <xdr:rowOff>180975</xdr:rowOff>
                  </from>
                  <to>
                    <xdr:col>16</xdr:col>
                    <xdr:colOff>9525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47" name="Check Box 124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251</xdr:row>
                    <xdr:rowOff>190500</xdr:rowOff>
                  </from>
                  <to>
                    <xdr:col>16</xdr:col>
                    <xdr:colOff>9525</xdr:colOff>
                    <xdr:row>253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48" name="Check Box 126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263</xdr:row>
                    <xdr:rowOff>180975</xdr:rowOff>
                  </from>
                  <to>
                    <xdr:col>16</xdr:col>
                    <xdr:colOff>0</xdr:colOff>
                    <xdr:row>265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49" name="Check Box 127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264</xdr:row>
                    <xdr:rowOff>180975</xdr:rowOff>
                  </from>
                  <to>
                    <xdr:col>16</xdr:col>
                    <xdr:colOff>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50" name="Check Box 128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265</xdr:row>
                    <xdr:rowOff>180975</xdr:rowOff>
                  </from>
                  <to>
                    <xdr:col>16</xdr:col>
                    <xdr:colOff>0</xdr:colOff>
                    <xdr:row>267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51" name="Check Box 129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266</xdr:row>
                    <xdr:rowOff>180975</xdr:rowOff>
                  </from>
                  <to>
                    <xdr:col>16</xdr:col>
                    <xdr:colOff>0</xdr:colOff>
                    <xdr:row>268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52" name="Check Box 130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267</xdr:row>
                    <xdr:rowOff>180975</xdr:rowOff>
                  </from>
                  <to>
                    <xdr:col>16</xdr:col>
                    <xdr:colOff>0</xdr:colOff>
                    <xdr:row>269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53" name="Check Box 134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287</xdr:row>
                    <xdr:rowOff>0</xdr:rowOff>
                  </from>
                  <to>
                    <xdr:col>16</xdr:col>
                    <xdr:colOff>0</xdr:colOff>
                    <xdr:row>288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54" name="Check Box 135">
              <controlPr locked="0" defaultSize="0" autoFill="0" autoLine="0" autoPict="0">
                <anchor moveWithCells="1">
                  <from>
                    <xdr:col>7</xdr:col>
                    <xdr:colOff>285750</xdr:colOff>
                    <xdr:row>287</xdr:row>
                    <xdr:rowOff>180975</xdr:rowOff>
                  </from>
                  <to>
                    <xdr:col>16</xdr:col>
                    <xdr:colOff>9525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55" name="Check Box 136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288</xdr:row>
                    <xdr:rowOff>180975</xdr:rowOff>
                  </from>
                  <to>
                    <xdr:col>16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56" name="Check Box 137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289</xdr:row>
                    <xdr:rowOff>180975</xdr:rowOff>
                  </from>
                  <to>
                    <xdr:col>16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57" name="Check Box 139">
              <controlPr locked="0" defaultSize="0" autoFill="0" autoLine="0" autoPict="0">
                <anchor moveWithCells="1">
                  <from>
                    <xdr:col>10</xdr:col>
                    <xdr:colOff>257175</xdr:colOff>
                    <xdr:row>310</xdr:row>
                    <xdr:rowOff>0</xdr:rowOff>
                  </from>
                  <to>
                    <xdr:col>15</xdr:col>
                    <xdr:colOff>276225</xdr:colOff>
                    <xdr:row>311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58" name="Check Box 140">
              <controlPr locked="0" defaultSize="0" autoFill="0" autoLine="0" autoPict="0">
                <anchor moveWithCells="1">
                  <from>
                    <xdr:col>10</xdr:col>
                    <xdr:colOff>257175</xdr:colOff>
                    <xdr:row>310</xdr:row>
                    <xdr:rowOff>180975</xdr:rowOff>
                  </from>
                  <to>
                    <xdr:col>15</xdr:col>
                    <xdr:colOff>276225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59" name="Check Box 143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319</xdr:row>
                    <xdr:rowOff>190500</xdr:rowOff>
                  </from>
                  <to>
                    <xdr:col>16</xdr:col>
                    <xdr:colOff>0</xdr:colOff>
                    <xdr:row>321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60" name="Check Box 144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320</xdr:row>
                    <xdr:rowOff>190500</xdr:rowOff>
                  </from>
                  <to>
                    <xdr:col>16</xdr:col>
                    <xdr:colOff>0</xdr:colOff>
                    <xdr:row>322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35" yWindow="780" count="1">
        <x14:dataValidation type="list" allowBlank="1" showInputMessage="1" showErrorMessage="1">
          <x14:formula1>
            <xm:f>Données!$K$3:$K$8</xm:f>
          </x14:formula1>
          <xm:sqref>J168:N172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K92"/>
  <sheetViews>
    <sheetView showFormulas="1" workbookViewId="0">
      <selection activeCell="D49" sqref="D49"/>
    </sheetView>
  </sheetViews>
  <sheetFormatPr baseColWidth="10" defaultRowHeight="12.75" x14ac:dyDescent="0.2"/>
  <sheetData>
    <row r="2" spans="2:11" x14ac:dyDescent="0.2">
      <c r="B2" t="s">
        <v>185</v>
      </c>
      <c r="E2" s="184" t="s">
        <v>188</v>
      </c>
      <c r="G2" s="184" t="s">
        <v>196</v>
      </c>
      <c r="I2" s="184" t="s">
        <v>197</v>
      </c>
      <c r="K2" s="184" t="s">
        <v>202</v>
      </c>
    </row>
    <row r="3" spans="2:11" x14ac:dyDescent="0.2">
      <c r="B3" t="s">
        <v>186</v>
      </c>
      <c r="E3" s="184" t="s">
        <v>74</v>
      </c>
      <c r="G3" s="184" t="s">
        <v>47</v>
      </c>
      <c r="I3" s="184" t="s">
        <v>23</v>
      </c>
      <c r="K3" s="381" t="s">
        <v>259</v>
      </c>
    </row>
    <row r="4" spans="2:11" x14ac:dyDescent="0.2">
      <c r="B4" t="s">
        <v>187</v>
      </c>
      <c r="E4" s="184" t="s">
        <v>132</v>
      </c>
      <c r="G4" s="184" t="s">
        <v>76</v>
      </c>
      <c r="I4" s="184" t="s">
        <v>122</v>
      </c>
      <c r="K4" t="s">
        <v>201</v>
      </c>
    </row>
    <row r="5" spans="2:11" x14ac:dyDescent="0.2">
      <c r="E5" s="184" t="s">
        <v>189</v>
      </c>
      <c r="G5" s="184" t="s">
        <v>72</v>
      </c>
      <c r="I5" s="184" t="s">
        <v>123</v>
      </c>
      <c r="K5" s="184" t="s">
        <v>203</v>
      </c>
    </row>
    <row r="6" spans="2:11" x14ac:dyDescent="0.2">
      <c r="G6" s="184" t="s">
        <v>48</v>
      </c>
      <c r="I6" s="184" t="s">
        <v>124</v>
      </c>
      <c r="K6" t="s">
        <v>40</v>
      </c>
    </row>
    <row r="7" spans="2:11" x14ac:dyDescent="0.2">
      <c r="K7" t="s">
        <v>135</v>
      </c>
    </row>
    <row r="8" spans="2:11" x14ac:dyDescent="0.2">
      <c r="K8" t="s">
        <v>141</v>
      </c>
    </row>
    <row r="9" spans="2:11" x14ac:dyDescent="0.2">
      <c r="B9" s="184" t="s">
        <v>191</v>
      </c>
      <c r="D9" s="184" t="s">
        <v>192</v>
      </c>
    </row>
    <row r="10" spans="2:11" x14ac:dyDescent="0.2">
      <c r="B10" s="184" t="s">
        <v>7</v>
      </c>
      <c r="D10" s="184" t="s">
        <v>193</v>
      </c>
    </row>
    <row r="11" spans="2:11" x14ac:dyDescent="0.2">
      <c r="B11" s="184" t="s">
        <v>118</v>
      </c>
      <c r="D11" s="184" t="s">
        <v>194</v>
      </c>
    </row>
    <row r="12" spans="2:11" x14ac:dyDescent="0.2">
      <c r="B12" s="184" t="s">
        <v>8</v>
      </c>
      <c r="D12" s="184" t="s">
        <v>195</v>
      </c>
    </row>
    <row r="16" spans="2:11" x14ac:dyDescent="0.2">
      <c r="B16" s="184"/>
    </row>
    <row r="17" spans="2:11" x14ac:dyDescent="0.2">
      <c r="B17" s="184" t="s">
        <v>23</v>
      </c>
      <c r="C17">
        <v>70</v>
      </c>
      <c r="I17" s="184"/>
    </row>
    <row r="18" spans="2:11" x14ac:dyDescent="0.2">
      <c r="B18" s="184" t="s">
        <v>122</v>
      </c>
      <c r="C18">
        <v>50</v>
      </c>
      <c r="G18" s="381"/>
      <c r="I18" s="184"/>
    </row>
    <row r="19" spans="2:11" x14ac:dyDescent="0.2">
      <c r="B19" s="184" t="s">
        <v>123</v>
      </c>
      <c r="C19">
        <v>30</v>
      </c>
      <c r="G19" s="381"/>
      <c r="I19" s="184"/>
    </row>
    <row r="20" spans="2:11" x14ac:dyDescent="0.2">
      <c r="B20" s="184" t="s">
        <v>124</v>
      </c>
      <c r="C20">
        <v>10</v>
      </c>
      <c r="I20" s="184"/>
    </row>
    <row r="23" spans="2:11" x14ac:dyDescent="0.2">
      <c r="B23" t="s">
        <v>23</v>
      </c>
      <c r="C23">
        <v>60</v>
      </c>
      <c r="D23">
        <v>100</v>
      </c>
      <c r="E23">
        <v>30</v>
      </c>
      <c r="F23">
        <v>100</v>
      </c>
      <c r="G23">
        <v>60</v>
      </c>
      <c r="H23">
        <v>100</v>
      </c>
      <c r="I23">
        <v>30</v>
      </c>
    </row>
    <row r="24" spans="2:11" x14ac:dyDescent="0.2">
      <c r="B24" t="s">
        <v>122</v>
      </c>
      <c r="C24">
        <v>40</v>
      </c>
      <c r="D24">
        <v>70</v>
      </c>
      <c r="E24">
        <v>20</v>
      </c>
      <c r="F24">
        <v>70</v>
      </c>
      <c r="G24">
        <v>40</v>
      </c>
      <c r="H24">
        <v>70</v>
      </c>
      <c r="I24">
        <v>20</v>
      </c>
    </row>
    <row r="25" spans="2:11" x14ac:dyDescent="0.2">
      <c r="B25" t="s">
        <v>123</v>
      </c>
      <c r="C25">
        <v>20</v>
      </c>
      <c r="D25">
        <v>40</v>
      </c>
      <c r="E25">
        <v>10</v>
      </c>
      <c r="F25">
        <v>40</v>
      </c>
      <c r="G25">
        <v>20</v>
      </c>
      <c r="H25">
        <v>40</v>
      </c>
      <c r="I25">
        <v>10</v>
      </c>
    </row>
    <row r="26" spans="2:11" x14ac:dyDescent="0.2">
      <c r="B26" t="s">
        <v>124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9" spans="2:11" x14ac:dyDescent="0.2">
      <c r="B29" t="s">
        <v>47</v>
      </c>
      <c r="C29">
        <v>100</v>
      </c>
      <c r="D29">
        <v>100</v>
      </c>
      <c r="E29">
        <v>60</v>
      </c>
      <c r="F29">
        <v>60</v>
      </c>
      <c r="G29">
        <v>30</v>
      </c>
      <c r="H29">
        <v>30</v>
      </c>
      <c r="I29">
        <v>60</v>
      </c>
      <c r="J29">
        <v>60</v>
      </c>
      <c r="K29">
        <v>60</v>
      </c>
    </row>
    <row r="30" spans="2:11" x14ac:dyDescent="0.2">
      <c r="B30" s="184" t="s">
        <v>76</v>
      </c>
      <c r="C30">
        <v>70</v>
      </c>
      <c r="D30">
        <v>70</v>
      </c>
      <c r="E30">
        <v>40</v>
      </c>
      <c r="F30">
        <v>40</v>
      </c>
      <c r="G30">
        <v>20</v>
      </c>
      <c r="H30">
        <v>20</v>
      </c>
      <c r="I30">
        <v>40</v>
      </c>
      <c r="J30">
        <v>40</v>
      </c>
      <c r="K30">
        <v>40</v>
      </c>
    </row>
    <row r="31" spans="2:11" x14ac:dyDescent="0.2">
      <c r="B31" t="s">
        <v>72</v>
      </c>
      <c r="C31">
        <v>40</v>
      </c>
      <c r="D31">
        <v>40</v>
      </c>
      <c r="E31">
        <v>20</v>
      </c>
      <c r="F31">
        <v>20</v>
      </c>
      <c r="G31">
        <v>10</v>
      </c>
      <c r="H31">
        <v>10</v>
      </c>
      <c r="I31">
        <v>20</v>
      </c>
      <c r="J31">
        <v>20</v>
      </c>
      <c r="K31">
        <v>20</v>
      </c>
    </row>
    <row r="32" spans="2:11" x14ac:dyDescent="0.2">
      <c r="B32" t="s">
        <v>48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5" spans="2:3" x14ac:dyDescent="0.2">
      <c r="B35">
        <v>1</v>
      </c>
      <c r="C35">
        <v>100</v>
      </c>
    </row>
    <row r="36" spans="2:3" x14ac:dyDescent="0.2">
      <c r="B36">
        <v>2</v>
      </c>
      <c r="C36">
        <v>70</v>
      </c>
    </row>
    <row r="37" spans="2:3" x14ac:dyDescent="0.2">
      <c r="B37">
        <v>3</v>
      </c>
      <c r="C37">
        <v>40</v>
      </c>
    </row>
    <row r="38" spans="2:3" x14ac:dyDescent="0.2">
      <c r="B38">
        <v>4</v>
      </c>
      <c r="C38">
        <v>20</v>
      </c>
    </row>
    <row r="39" spans="2:3" x14ac:dyDescent="0.2">
      <c r="B39">
        <v>5</v>
      </c>
      <c r="C39">
        <v>0</v>
      </c>
    </row>
    <row r="42" spans="2:3" x14ac:dyDescent="0.2">
      <c r="B42" t="s">
        <v>47</v>
      </c>
      <c r="C42">
        <v>60</v>
      </c>
    </row>
    <row r="43" spans="2:3" x14ac:dyDescent="0.2">
      <c r="B43" t="s">
        <v>76</v>
      </c>
      <c r="C43">
        <v>40</v>
      </c>
    </row>
    <row r="44" spans="2:3" x14ac:dyDescent="0.2">
      <c r="B44" t="s">
        <v>72</v>
      </c>
      <c r="C44">
        <v>20</v>
      </c>
    </row>
    <row r="45" spans="2:3" x14ac:dyDescent="0.2">
      <c r="B45" t="s">
        <v>48</v>
      </c>
      <c r="C45">
        <v>0</v>
      </c>
    </row>
    <row r="47" spans="2:3" x14ac:dyDescent="0.2">
      <c r="B47" s="381" t="s">
        <v>259</v>
      </c>
      <c r="C47">
        <v>10</v>
      </c>
    </row>
    <row r="48" spans="2:3" x14ac:dyDescent="0.2">
      <c r="B48" t="s">
        <v>201</v>
      </c>
      <c r="C48">
        <v>10</v>
      </c>
    </row>
    <row r="49" spans="2:3" x14ac:dyDescent="0.2">
      <c r="B49" t="s">
        <v>203</v>
      </c>
      <c r="C49">
        <v>20</v>
      </c>
    </row>
    <row r="50" spans="2:3" x14ac:dyDescent="0.2">
      <c r="B50" t="s">
        <v>40</v>
      </c>
      <c r="C50">
        <v>40</v>
      </c>
    </row>
    <row r="51" spans="2:3" x14ac:dyDescent="0.2">
      <c r="B51" t="s">
        <v>135</v>
      </c>
      <c r="C51">
        <v>40</v>
      </c>
    </row>
    <row r="52" spans="2:3" x14ac:dyDescent="0.2">
      <c r="B52" t="s">
        <v>141</v>
      </c>
      <c r="C52">
        <v>60</v>
      </c>
    </row>
    <row r="55" spans="2:3" x14ac:dyDescent="0.2">
      <c r="B55" s="184" t="s">
        <v>204</v>
      </c>
      <c r="C55">
        <v>100</v>
      </c>
    </row>
    <row r="56" spans="2:3" x14ac:dyDescent="0.2">
      <c r="B56" s="184" t="s">
        <v>205</v>
      </c>
      <c r="C56">
        <v>70</v>
      </c>
    </row>
    <row r="57" spans="2:3" x14ac:dyDescent="0.2">
      <c r="B57" s="184" t="s">
        <v>206</v>
      </c>
      <c r="C57">
        <v>40</v>
      </c>
    </row>
    <row r="58" spans="2:3" x14ac:dyDescent="0.2">
      <c r="B58" s="184" t="s">
        <v>207</v>
      </c>
      <c r="C58">
        <v>20</v>
      </c>
    </row>
    <row r="59" spans="2:3" x14ac:dyDescent="0.2">
      <c r="B59" t="s">
        <v>48</v>
      </c>
      <c r="C59">
        <v>0</v>
      </c>
    </row>
    <row r="62" spans="2:3" x14ac:dyDescent="0.2">
      <c r="B62" s="184" t="s">
        <v>209</v>
      </c>
      <c r="C62">
        <v>60</v>
      </c>
    </row>
    <row r="63" spans="2:3" x14ac:dyDescent="0.2">
      <c r="B63" s="184" t="s">
        <v>210</v>
      </c>
      <c r="C63">
        <v>30</v>
      </c>
    </row>
    <row r="64" spans="2:3" x14ac:dyDescent="0.2">
      <c r="B64" s="184" t="s">
        <v>211</v>
      </c>
      <c r="C64">
        <v>0</v>
      </c>
    </row>
    <row r="67" spans="2:6" x14ac:dyDescent="0.2">
      <c r="B67" s="184" t="s">
        <v>47</v>
      </c>
      <c r="C67">
        <v>40</v>
      </c>
      <c r="D67">
        <v>40</v>
      </c>
      <c r="E67">
        <v>40</v>
      </c>
      <c r="F67">
        <v>40</v>
      </c>
    </row>
    <row r="68" spans="2:6" x14ac:dyDescent="0.2">
      <c r="B68" s="184" t="s">
        <v>76</v>
      </c>
      <c r="C68">
        <v>20</v>
      </c>
      <c r="D68">
        <v>20</v>
      </c>
      <c r="E68">
        <v>20</v>
      </c>
      <c r="F68">
        <v>20</v>
      </c>
    </row>
    <row r="69" spans="2:6" x14ac:dyDescent="0.2">
      <c r="B69" s="184" t="s">
        <v>72</v>
      </c>
      <c r="C69">
        <v>0</v>
      </c>
      <c r="D69">
        <v>0</v>
      </c>
      <c r="E69">
        <v>0</v>
      </c>
      <c r="F69">
        <v>0</v>
      </c>
    </row>
    <row r="70" spans="2:6" x14ac:dyDescent="0.2">
      <c r="B70" s="184" t="s">
        <v>48</v>
      </c>
      <c r="C70">
        <v>0</v>
      </c>
      <c r="D70">
        <v>0</v>
      </c>
      <c r="E70">
        <v>0</v>
      </c>
      <c r="F70">
        <v>0</v>
      </c>
    </row>
    <row r="73" spans="2:6" x14ac:dyDescent="0.2">
      <c r="B73" s="184" t="s">
        <v>213</v>
      </c>
      <c r="C73">
        <v>0</v>
      </c>
    </row>
    <row r="74" spans="2:6" x14ac:dyDescent="0.2">
      <c r="B74" s="184" t="s">
        <v>214</v>
      </c>
      <c r="C74">
        <v>20</v>
      </c>
    </row>
    <row r="76" spans="2:6" x14ac:dyDescent="0.2">
      <c r="B76" s="184"/>
    </row>
    <row r="77" spans="2:6" x14ac:dyDescent="0.2">
      <c r="B77" s="184" t="s">
        <v>47</v>
      </c>
      <c r="C77">
        <v>100</v>
      </c>
    </row>
    <row r="78" spans="2:6" x14ac:dyDescent="0.2">
      <c r="B78" s="184" t="s">
        <v>76</v>
      </c>
      <c r="C78">
        <v>70</v>
      </c>
    </row>
    <row r="79" spans="2:6" x14ac:dyDescent="0.2">
      <c r="B79" s="184" t="s">
        <v>78</v>
      </c>
      <c r="C79">
        <v>40</v>
      </c>
    </row>
    <row r="80" spans="2:6" x14ac:dyDescent="0.2">
      <c r="B80" s="184" t="s">
        <v>48</v>
      </c>
      <c r="C80">
        <v>0</v>
      </c>
    </row>
    <row r="83" spans="2:4" x14ac:dyDescent="0.2">
      <c r="B83" s="184" t="s">
        <v>47</v>
      </c>
      <c r="C83">
        <v>30</v>
      </c>
    </row>
    <row r="84" spans="2:4" x14ac:dyDescent="0.2">
      <c r="B84" s="184" t="s">
        <v>76</v>
      </c>
      <c r="C84">
        <v>20</v>
      </c>
    </row>
    <row r="85" spans="2:4" x14ac:dyDescent="0.2">
      <c r="B85" s="184" t="s">
        <v>78</v>
      </c>
      <c r="C85">
        <v>10</v>
      </c>
    </row>
    <row r="86" spans="2:4" x14ac:dyDescent="0.2">
      <c r="B86" s="184" t="s">
        <v>48</v>
      </c>
      <c r="C86">
        <v>0</v>
      </c>
    </row>
    <row r="89" spans="2:4" x14ac:dyDescent="0.2">
      <c r="B89" s="184" t="s">
        <v>47</v>
      </c>
      <c r="C89">
        <v>60</v>
      </c>
      <c r="D89">
        <v>50</v>
      </c>
    </row>
    <row r="90" spans="2:4" x14ac:dyDescent="0.2">
      <c r="B90" s="184" t="s">
        <v>76</v>
      </c>
      <c r="C90">
        <v>40</v>
      </c>
      <c r="D90">
        <v>30</v>
      </c>
    </row>
    <row r="91" spans="2:4" x14ac:dyDescent="0.2">
      <c r="B91" s="184" t="s">
        <v>78</v>
      </c>
      <c r="C91">
        <v>20</v>
      </c>
      <c r="D91">
        <v>10</v>
      </c>
    </row>
    <row r="92" spans="2:4" x14ac:dyDescent="0.2">
      <c r="B92" s="184" t="s">
        <v>48</v>
      </c>
      <c r="C92">
        <v>0</v>
      </c>
      <c r="D92">
        <v>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40</vt:i4>
      </vt:variant>
    </vt:vector>
  </HeadingPairs>
  <TitlesOfParts>
    <vt:vector size="42" baseType="lpstr">
      <vt:lpstr>Dossier</vt:lpstr>
      <vt:lpstr>Données</vt:lpstr>
      <vt:lpstr>Diplômes</vt:lpstr>
      <vt:lpstr>Educ_dep</vt:lpstr>
      <vt:lpstr>freq_comite</vt:lpstr>
      <vt:lpstr>Freq_entr</vt:lpstr>
      <vt:lpstr>freq_presse</vt:lpstr>
      <vt:lpstr>Freq_reunions</vt:lpstr>
      <vt:lpstr>freq_tournoi</vt:lpstr>
      <vt:lpstr>Fréquence</vt:lpstr>
      <vt:lpstr>Niveau</vt:lpstr>
      <vt:lpstr>OUI_NON</vt:lpstr>
      <vt:lpstr>p_accompagnement</vt:lpstr>
      <vt:lpstr>p_diplômes</vt:lpstr>
      <vt:lpstr>p_educep</vt:lpstr>
      <vt:lpstr>p_ethique</vt:lpstr>
      <vt:lpstr>p_freqcomite</vt:lpstr>
      <vt:lpstr>p_freqentr</vt:lpstr>
      <vt:lpstr>p_freqpresse</vt:lpstr>
      <vt:lpstr>p_freqreunions</vt:lpstr>
      <vt:lpstr>p_freqtournoi</vt:lpstr>
      <vt:lpstr>p_orga</vt:lpstr>
      <vt:lpstr>p_péda</vt:lpstr>
      <vt:lpstr>p_projetpéda</vt:lpstr>
      <vt:lpstr>p_structure</vt:lpstr>
      <vt:lpstr>Satisfaction</vt:lpstr>
      <vt:lpstr>Dossier!z_accompagnement_eval</vt:lpstr>
      <vt:lpstr>Dossier!z_accueil_eval</vt:lpstr>
      <vt:lpstr>Dossier!z_educateurs_eval</vt:lpstr>
      <vt:lpstr>Dossier!z_educateurs_nombre</vt:lpstr>
      <vt:lpstr>Dossier!z_educateurs_reunions</vt:lpstr>
      <vt:lpstr>Dossier!z_ethique_eval</vt:lpstr>
      <vt:lpstr>Dossier!z_formationjoueurs_eval</vt:lpstr>
      <vt:lpstr>Dossier!z_identite</vt:lpstr>
      <vt:lpstr>Dossier!z_information_eval</vt:lpstr>
      <vt:lpstr>Dossier!z_institution_eval</vt:lpstr>
      <vt:lpstr>Dossier!z_partenariat_eval</vt:lpstr>
      <vt:lpstr>Dossier!z_projetpeda_eval</vt:lpstr>
      <vt:lpstr>Dossier!z_reunions_eval</vt:lpstr>
      <vt:lpstr>Dossier!z_scolaire_eval</vt:lpstr>
      <vt:lpstr>Dossier!z_structure_eval</vt:lpstr>
      <vt:lpstr>Zone_recrutement</vt:lpstr>
    </vt:vector>
  </TitlesOfParts>
  <Company>FFR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GALONNIER</dc:creator>
  <cp:lastModifiedBy>LYDIE</cp:lastModifiedBy>
  <cp:lastPrinted>2012-01-17T14:34:35Z</cp:lastPrinted>
  <dcterms:created xsi:type="dcterms:W3CDTF">2005-01-30T10:47:02Z</dcterms:created>
  <dcterms:modified xsi:type="dcterms:W3CDTF">2016-12-07T13:04:57Z</dcterms:modified>
</cp:coreProperties>
</file>